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f-my.sharepoint.com/personal/tarringec_cardiff_ac_uk/Documents/PVP exposure studies/PVP chronic study/GPC/"/>
    </mc:Choice>
  </mc:AlternateContent>
  <xr:revisionPtr revIDLastSave="643" documentId="8_{877DD8CE-3DFF-4D3D-A1D2-6EFAD009851D}" xr6:coauthVersionLast="47" xr6:coauthVersionMax="47" xr10:uidLastSave="{543A4C19-6776-47B9-BAC1-518CD0E118B1}"/>
  <bookViews>
    <workbookView xWindow="10815" yWindow="-11640" windowWidth="20730" windowHeight="11160" activeTab="1" xr2:uid="{8ACB9E66-94DF-4A26-8304-6723B556B42B}"/>
  </bookViews>
  <sheets>
    <sheet name="PVP 40kDa" sheetId="3" r:id="rId1"/>
    <sheet name="PVP 360 kDa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2" l="1"/>
  <c r="C24" i="2"/>
  <c r="D23" i="2"/>
  <c r="C23" i="2"/>
  <c r="E16" i="3"/>
  <c r="E15" i="3"/>
  <c r="E14" i="3"/>
  <c r="D23" i="3"/>
  <c r="C23" i="3"/>
  <c r="D24" i="3"/>
  <c r="C24" i="3"/>
  <c r="B26" i="3"/>
  <c r="R4" i="3"/>
  <c r="R8" i="3"/>
  <c r="R7" i="3"/>
  <c r="R6" i="3"/>
  <c r="R5" i="3"/>
  <c r="R12" i="3"/>
  <c r="S13" i="3"/>
  <c r="R13" i="3"/>
  <c r="B27" i="3" l="1"/>
  <c r="D26" i="3"/>
  <c r="D27" i="3" s="1"/>
  <c r="D28" i="3" s="1"/>
  <c r="C26" i="3"/>
  <c r="C27" i="3" s="1"/>
  <c r="C28" i="3" s="1"/>
  <c r="B15" i="3"/>
  <c r="B14" i="3"/>
  <c r="S12" i="3"/>
  <c r="S11" i="3"/>
  <c r="R11" i="3"/>
  <c r="S10" i="3"/>
  <c r="R10" i="3"/>
  <c r="S9" i="3"/>
  <c r="R9" i="3"/>
  <c r="S8" i="3"/>
  <c r="S7" i="3"/>
  <c r="S6" i="3"/>
  <c r="S5" i="3"/>
  <c r="S4" i="3"/>
  <c r="E26" i="3" l="1"/>
  <c r="U4" i="3"/>
  <c r="B16" i="3"/>
  <c r="U11" i="3" s="1"/>
  <c r="U13" i="3"/>
  <c r="T5" i="3"/>
  <c r="T13" i="3"/>
  <c r="T6" i="3"/>
  <c r="T12" i="3"/>
  <c r="T9" i="3"/>
  <c r="T8" i="3"/>
  <c r="T7" i="3"/>
  <c r="T10" i="3"/>
  <c r="T11" i="3"/>
  <c r="T4" i="3"/>
  <c r="E27" i="3"/>
  <c r="B28" i="3"/>
  <c r="E14" i="2"/>
  <c r="C26" i="2"/>
  <c r="C27" i="2" s="1"/>
  <c r="C28" i="2" s="1"/>
  <c r="B15" i="2"/>
  <c r="E15" i="2"/>
  <c r="B26" i="2"/>
  <c r="B27" i="2" s="1"/>
  <c r="S12" i="2"/>
  <c r="R12" i="2"/>
  <c r="S11" i="2"/>
  <c r="R11" i="2"/>
  <c r="S10" i="2"/>
  <c r="R10" i="2"/>
  <c r="S9" i="2"/>
  <c r="R9" i="2"/>
  <c r="S8" i="2"/>
  <c r="R8" i="2"/>
  <c r="S7" i="2"/>
  <c r="R7" i="2"/>
  <c r="S6" i="2"/>
  <c r="R6" i="2"/>
  <c r="S5" i="2"/>
  <c r="R5" i="2"/>
  <c r="S4" i="2"/>
  <c r="R4" i="2"/>
  <c r="U9" i="3" l="1"/>
  <c r="U8" i="3"/>
  <c r="U12" i="3"/>
  <c r="U7" i="3"/>
  <c r="U6" i="3"/>
  <c r="U5" i="3"/>
  <c r="U10" i="3"/>
  <c r="B28" i="2"/>
  <c r="E27" i="2"/>
  <c r="D26" i="2"/>
  <c r="D27" i="2" s="1"/>
  <c r="D28" i="2" s="1"/>
  <c r="E26" i="2"/>
  <c r="B14" i="2"/>
  <c r="B16" i="2" s="1"/>
  <c r="T7" i="2"/>
  <c r="T11" i="2"/>
  <c r="T12" i="2"/>
  <c r="T8" i="2"/>
  <c r="T4" i="2"/>
  <c r="T9" i="2"/>
  <c r="T5" i="2"/>
  <c r="T10" i="2"/>
  <c r="T6" i="2"/>
  <c r="E16" i="2" l="1"/>
  <c r="U10" i="2"/>
  <c r="U4" i="2"/>
  <c r="U8" i="2"/>
  <c r="U11" i="2"/>
  <c r="U5" i="2"/>
  <c r="U12" i="2"/>
  <c r="U6" i="2"/>
  <c r="U7" i="2"/>
  <c r="U9" i="2"/>
</calcChain>
</file>

<file path=xl/sharedStrings.xml><?xml version="1.0" encoding="utf-8"?>
<sst xmlns="http://schemas.openxmlformats.org/spreadsheetml/2006/main" count="64" uniqueCount="33">
  <si>
    <t>Area calculated from fityk</t>
  </si>
  <si>
    <t>retention time:</t>
  </si>
  <si>
    <t>blank</t>
  </si>
  <si>
    <t>LOQ = 20%</t>
  </si>
  <si>
    <r>
      <t>Concentration (mg mL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</si>
  <si>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RI 1</t>
  </si>
  <si>
    <t>RI 2</t>
  </si>
  <si>
    <t>RI 3</t>
  </si>
  <si>
    <t>RI 4</t>
  </si>
  <si>
    <t>RI 5</t>
  </si>
  <si>
    <t>Average</t>
  </si>
  <si>
    <t>SD</t>
  </si>
  <si>
    <t>SD % (LOQ 20%)</t>
  </si>
  <si>
    <t>5 x blank?</t>
  </si>
  <si>
    <t>LOQ</t>
  </si>
  <si>
    <t>blank mean</t>
  </si>
  <si>
    <t>0.1 mean</t>
  </si>
  <si>
    <t>blank SD</t>
  </si>
  <si>
    <t>0.1 SD</t>
  </si>
  <si>
    <t>LOB RI</t>
  </si>
  <si>
    <t>LOD RI</t>
  </si>
  <si>
    <t>LOB conc</t>
  </si>
  <si>
    <t>LOD conc</t>
  </si>
  <si>
    <t>Average calibration</t>
  </si>
  <si>
    <t>SD+</t>
  </si>
  <si>
    <t>SD-</t>
  </si>
  <si>
    <t>Equation</t>
  </si>
  <si>
    <t>Value</t>
  </si>
  <si>
    <t>b (gradient)</t>
  </si>
  <si>
    <t>a (intercept)</t>
  </si>
  <si>
    <t>y (RI)</t>
  </si>
  <si>
    <t>x (unknown)</t>
  </si>
  <si>
    <t>RI 1_1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</si>
</sst>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164" fontId="0" fillId="0" borderId="0" xfId="0" applyNumberFormat="1"/>
    <xf numFmtId="0" fontId="0" fillId="3" borderId="1" xfId="0" applyFill="1" applyBorder="1"/>
    <xf numFmtId="164" fontId="0" fillId="2" borderId="1" xfId="0" applyNumberFormat="1" applyFill="1" applyBorder="1"/>
    <xf numFmtId="1" fontId="0" fillId="0" borderId="0" xfId="0" applyNumberFormat="1"/>
    <xf numFmtId="9" fontId="0" fillId="0" borderId="0" xfId="0" applyNumberFormat="1"/>
    <xf numFmtId="164" fontId="0" fillId="3" borderId="0" xfId="0" applyNumberFormat="1" applyFill="1"/>
    <xf numFmtId="164" fontId="0" fillId="5" borderId="0" xfId="0" applyNumberFormat="1" applyFill="1"/>
    <xf numFmtId="0" fontId="0" fillId="0" borderId="2" xfId="0" applyBorder="1"/>
    <xf numFmtId="164" fontId="0" fillId="0" borderId="3" xfId="0" applyNumberFormat="1" applyBorder="1"/>
    <xf numFmtId="164" fontId="0" fillId="0" borderId="4" xfId="0" applyNumberFormat="1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164" fontId="0" fillId="3" borderId="8" xfId="0" applyNumberFormat="1" applyFill="1" applyBorder="1"/>
    <xf numFmtId="164" fontId="0" fillId="0" borderId="8" xfId="0" applyNumberFormat="1" applyBorder="1"/>
    <xf numFmtId="164" fontId="0" fillId="3" borderId="9" xfId="0" applyNumberFormat="1" applyFill="1" applyBorder="1"/>
    <xf numFmtId="0" fontId="0" fillId="0" borderId="10" xfId="0" applyBorder="1"/>
    <xf numFmtId="164" fontId="0" fillId="0" borderId="10" xfId="0" applyNumberFormat="1" applyBorder="1"/>
    <xf numFmtId="164" fontId="0" fillId="5" borderId="10" xfId="0" applyNumberFormat="1" applyFill="1" applyBorder="1"/>
    <xf numFmtId="1" fontId="0" fillId="0" borderId="10" xfId="0" applyNumberFormat="1" applyBorder="1"/>
    <xf numFmtId="0" fontId="0" fillId="0" borderId="11" xfId="0" applyBorder="1"/>
    <xf numFmtId="164" fontId="0" fillId="0" borderId="11" xfId="0" applyNumberFormat="1" applyBorder="1"/>
    <xf numFmtId="1" fontId="0" fillId="0" borderId="11" xfId="0" applyNumberFormat="1" applyBorder="1"/>
    <xf numFmtId="0" fontId="0" fillId="4" borderId="11" xfId="0" applyFill="1" applyBorder="1"/>
  </cellXfs>
  <cellStyles count="1">
    <cellStyle name="Normal" xfId="0" builtinId="0"/>
  </cellStyles>
  <dxfs count="1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C7CE"/>
      <color rgb="FF006100"/>
      <color rgb="FFC6EFCE"/>
      <color rgb="FF9C00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'PVP 40kDa'!$L$4:$L$13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</c:numCache>
            </c:numRef>
          </c:xVal>
          <c:yVal>
            <c:numRef>
              <c:f>'PVP 40kDa'!$R$4:$R$13</c:f>
              <c:numCache>
                <c:formatCode>0.000</c:formatCode>
                <c:ptCount val="10"/>
                <c:pt idx="0">
                  <c:v>0.43</c:v>
                </c:pt>
                <c:pt idx="1">
                  <c:v>1.7596666666666667</c:v>
                </c:pt>
                <c:pt idx="2">
                  <c:v>3.0298000000000003</c:v>
                </c:pt>
                <c:pt idx="3">
                  <c:v>4.0620000000000003</c:v>
                </c:pt>
                <c:pt idx="4">
                  <c:v>5.8380000000000001</c:v>
                </c:pt>
                <c:pt idx="5">
                  <c:v>7.4225000000000003</c:v>
                </c:pt>
                <c:pt idx="6">
                  <c:v>15.901</c:v>
                </c:pt>
                <c:pt idx="7">
                  <c:v>31.082000000000001</c:v>
                </c:pt>
                <c:pt idx="8">
                  <c:v>47.557000000000002</c:v>
                </c:pt>
                <c:pt idx="9">
                  <c:v>61.134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442-4E03-8458-A9A4D20A7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441392"/>
        <c:axId val="1852797775"/>
      </c:scatterChart>
      <c:valAx>
        <c:axId val="28244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2797775"/>
        <c:crosses val="autoZero"/>
        <c:crossBetween val="midCat"/>
      </c:valAx>
      <c:valAx>
        <c:axId val="1852797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441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'PVP 360 kDa'!$R$3</c:f>
              <c:strCache>
                <c:ptCount val="1"/>
                <c:pt idx="0">
                  <c:v>Average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5843015111706454"/>
                  <c:y val="-0.161225218072364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'PVP 360 kDa'!$L$4:$L$12</c:f>
              <c:numCache>
                <c:formatCode>General</c:formatCode>
                <c:ptCount val="9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</c:numCache>
            </c:numRef>
          </c:xVal>
          <c:yVal>
            <c:numRef>
              <c:f>'PVP 360 kDa'!$R$4:$R$12</c:f>
              <c:numCache>
                <c:formatCode>0.000</c:formatCode>
                <c:ptCount val="9"/>
                <c:pt idx="0">
                  <c:v>0.75124999999999997</c:v>
                </c:pt>
                <c:pt idx="1">
                  <c:v>1.6010000000000002</c:v>
                </c:pt>
                <c:pt idx="2">
                  <c:v>2.6530000000000005</c:v>
                </c:pt>
                <c:pt idx="3">
                  <c:v>3.5467500000000003</c:v>
                </c:pt>
                <c:pt idx="4">
                  <c:v>6.0845000000000002</c:v>
                </c:pt>
                <c:pt idx="5">
                  <c:v>7.9710000000000001</c:v>
                </c:pt>
                <c:pt idx="6">
                  <c:v>15.820499999999999</c:v>
                </c:pt>
                <c:pt idx="7">
                  <c:v>30.878500000000003</c:v>
                </c:pt>
                <c:pt idx="8">
                  <c:v>46.012500000000003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A3-453A-9E90-9A1DEB792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441392"/>
        <c:axId val="1852797775"/>
      </c:scatterChart>
      <c:valAx>
        <c:axId val="28244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2797775"/>
        <c:crosses val="autoZero"/>
        <c:crossBetween val="midCat"/>
      </c:valAx>
      <c:valAx>
        <c:axId val="1852797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441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97465</xdr:colOff>
      <xdr:row>14</xdr:row>
      <xdr:rowOff>16747</xdr:rowOff>
    </xdr:from>
    <xdr:to>
      <xdr:col>19</xdr:col>
      <xdr:colOff>404569</xdr:colOff>
      <xdr:row>29</xdr:row>
      <xdr:rowOff>16746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7686F5-6D40-444F-AD1F-C5CFDA2707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75693</xdr:colOff>
      <xdr:row>14</xdr:row>
      <xdr:rowOff>136490</xdr:rowOff>
    </xdr:from>
    <xdr:to>
      <xdr:col>19</xdr:col>
      <xdr:colOff>382797</xdr:colOff>
      <xdr:row>29</xdr:row>
      <xdr:rowOff>136488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285D61B-9F80-18ED-DCF3-C6826ED838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0C802-D1E0-413C-B3BB-9E5A34E9FD38}">
  <dimension ref="A1:AM28"/>
  <sheetViews>
    <sheetView zoomScale="72" workbookViewId="0">
      <selection activeCell="G23" sqref="G23"/>
    </sheetView>
  </sheetViews>
  <sheetFormatPr defaultRowHeight="14.4"/>
  <cols>
    <col min="1" max="1" width="16.6640625" bestFit="1" customWidth="1"/>
    <col min="2" max="2" width="13.88671875" bestFit="1" customWidth="1"/>
    <col min="3" max="3" width="11.5546875" bestFit="1" customWidth="1"/>
    <col min="4" max="4" width="12.109375" bestFit="1" customWidth="1"/>
    <col min="7" max="7" width="10.5546875" bestFit="1" customWidth="1"/>
    <col min="11" max="11" width="9.6640625" bestFit="1" customWidth="1"/>
    <col min="12" max="12" width="21.33203125" bestFit="1" customWidth="1"/>
    <col min="18" max="18" width="7.88671875" bestFit="1" customWidth="1"/>
    <col min="20" max="20" width="14.6640625" bestFit="1" customWidth="1"/>
    <col min="21" max="21" width="9.33203125" bestFit="1" customWidth="1"/>
  </cols>
  <sheetData>
    <row r="1" spans="1:39">
      <c r="A1" t="s">
        <v>0</v>
      </c>
      <c r="L1" t="s">
        <v>1</v>
      </c>
    </row>
    <row r="2" spans="1:39">
      <c r="A2" t="s">
        <v>2</v>
      </c>
      <c r="D2">
        <v>0.1</v>
      </c>
      <c r="L2" s="6" t="s">
        <v>3</v>
      </c>
    </row>
    <row r="3" spans="1:39" ht="16.2">
      <c r="A3" s="2">
        <v>0.373</v>
      </c>
      <c r="D3" s="2">
        <v>1.589</v>
      </c>
      <c r="L3" t="s">
        <v>4</v>
      </c>
      <c r="M3" t="s">
        <v>5</v>
      </c>
      <c r="N3" t="s">
        <v>6</v>
      </c>
      <c r="O3" t="s">
        <v>7</v>
      </c>
      <c r="P3" t="s">
        <v>8</v>
      </c>
      <c r="Q3" t="s">
        <v>9</v>
      </c>
      <c r="R3" t="s">
        <v>10</v>
      </c>
      <c r="S3" t="s">
        <v>11</v>
      </c>
      <c r="T3" t="s">
        <v>12</v>
      </c>
      <c r="U3" t="s">
        <v>13</v>
      </c>
    </row>
    <row r="4" spans="1:39">
      <c r="A4" s="2">
        <v>8.5999999999999993E-2</v>
      </c>
      <c r="D4" s="2">
        <v>2.1</v>
      </c>
      <c r="L4">
        <v>0.05</v>
      </c>
      <c r="M4" s="2">
        <v>0.40899999999999997</v>
      </c>
      <c r="N4" s="8"/>
      <c r="O4" s="2">
        <v>0.62</v>
      </c>
      <c r="P4" s="2">
        <v>0.44900000000000001</v>
      </c>
      <c r="Q4" s="2">
        <v>0.24199999999999999</v>
      </c>
      <c r="R4" s="2">
        <f>AVERAGE(M4:Q4)</f>
        <v>0.43</v>
      </c>
      <c r="S4" s="2">
        <f t="shared" ref="S4:S12" si="0">_xlfn.STDEV.P(M4:Q4)</f>
        <v>0.13439308017900328</v>
      </c>
      <c r="T4" s="5">
        <f t="shared" ref="T4:T13" si="1">(S4/R4)*100</f>
        <v>31.254204692791461</v>
      </c>
      <c r="U4" t="str">
        <f>IF(R4&gt;=5*$B$16,"Y","N")</f>
        <v>N</v>
      </c>
    </row>
    <row r="5" spans="1:39">
      <c r="A5" s="2">
        <v>0.47599999999999998</v>
      </c>
      <c r="D5" s="2">
        <v>1.59</v>
      </c>
      <c r="L5" s="18">
        <v>0.1</v>
      </c>
      <c r="M5" s="19">
        <v>1.589</v>
      </c>
      <c r="N5" s="19">
        <v>2.1</v>
      </c>
      <c r="O5" s="19">
        <v>1.59</v>
      </c>
      <c r="P5" s="20"/>
      <c r="Q5" s="20"/>
      <c r="R5" s="19">
        <f>AVERAGE(M5:Q5)</f>
        <v>1.7596666666666667</v>
      </c>
      <c r="S5" s="19">
        <f t="shared" si="0"/>
        <v>0.24065235414505326</v>
      </c>
      <c r="T5" s="21">
        <f t="shared" si="1"/>
        <v>13.676019367970444</v>
      </c>
      <c r="U5" s="18" t="str">
        <f>IF(R5&gt;=5*$B$16,"Y","N")</f>
        <v>N</v>
      </c>
    </row>
    <row r="6" spans="1:39">
      <c r="A6" s="2">
        <v>0.14499999999999999</v>
      </c>
      <c r="L6">
        <v>0.2</v>
      </c>
      <c r="M6" s="2">
        <v>3.7690000000000001</v>
      </c>
      <c r="N6" s="2">
        <v>2.476</v>
      </c>
      <c r="O6" s="2">
        <v>3.048</v>
      </c>
      <c r="P6" s="2">
        <v>2.9830000000000001</v>
      </c>
      <c r="Q6" s="2">
        <v>2.8730000000000002</v>
      </c>
      <c r="R6" s="2">
        <f>AVERAGE(M6:Q6)</f>
        <v>3.0298000000000003</v>
      </c>
      <c r="S6" s="2">
        <f t="shared" si="0"/>
        <v>0.41957569043022369</v>
      </c>
      <c r="T6" s="5">
        <f t="shared" si="1"/>
        <v>13.848296601433219</v>
      </c>
      <c r="U6" t="str">
        <f t="shared" ref="U6:U13" si="2">IF(R6&gt;=5*$B$16,"Y","N")</f>
        <v>Y</v>
      </c>
      <c r="V6" t="s">
        <v>14</v>
      </c>
    </row>
    <row r="7" spans="1:39">
      <c r="A7" s="2">
        <v>0.17499999999999999</v>
      </c>
      <c r="L7">
        <v>0.3</v>
      </c>
      <c r="M7" s="2">
        <v>4.1020000000000003</v>
      </c>
      <c r="N7" s="2">
        <v>4.0430000000000001</v>
      </c>
      <c r="O7" s="2">
        <v>3.9409999999999998</v>
      </c>
      <c r="P7" s="2">
        <v>4.0570000000000004</v>
      </c>
      <c r="Q7" s="2">
        <v>4.1669999999999998</v>
      </c>
      <c r="R7" s="2">
        <f>AVERAGE(M7:Q7)</f>
        <v>4.0620000000000003</v>
      </c>
      <c r="S7" s="2">
        <f t="shared" si="0"/>
        <v>7.4366659196174759E-2</v>
      </c>
      <c r="T7" s="5">
        <f t="shared" si="1"/>
        <v>1.8307892465823423</v>
      </c>
      <c r="U7" t="str">
        <f t="shared" si="2"/>
        <v>Y</v>
      </c>
    </row>
    <row r="8" spans="1:39">
      <c r="L8">
        <v>0.4</v>
      </c>
      <c r="M8" s="2">
        <v>5.1749999999999998</v>
      </c>
      <c r="N8" s="2">
        <v>6.5010000000000003</v>
      </c>
      <c r="O8" s="2"/>
      <c r="P8" s="2"/>
      <c r="Q8" s="2"/>
      <c r="R8" s="2">
        <f>AVERAGE(M8:Q8)</f>
        <v>5.8380000000000001</v>
      </c>
      <c r="S8" s="2">
        <f t="shared" si="0"/>
        <v>0.66299999999999903</v>
      </c>
      <c r="T8" s="5">
        <f t="shared" si="1"/>
        <v>11.356628982528246</v>
      </c>
      <c r="U8" t="str">
        <f t="shared" si="2"/>
        <v>Y</v>
      </c>
    </row>
    <row r="9" spans="1:39">
      <c r="L9">
        <v>0.5</v>
      </c>
      <c r="M9" s="2">
        <v>7.3970000000000002</v>
      </c>
      <c r="N9" s="2">
        <v>7.4480000000000004</v>
      </c>
      <c r="O9" s="2"/>
      <c r="P9" s="2"/>
      <c r="Q9" s="2"/>
      <c r="R9" s="2">
        <f t="shared" ref="R9:R11" si="3">AVERAGE(M9:Q9)</f>
        <v>7.4225000000000003</v>
      </c>
      <c r="S9" s="2">
        <f t="shared" si="0"/>
        <v>2.5500000000000078E-2</v>
      </c>
      <c r="T9" s="5">
        <f t="shared" si="1"/>
        <v>0.34355001684068814</v>
      </c>
      <c r="U9" t="str">
        <f t="shared" si="2"/>
        <v>Y</v>
      </c>
    </row>
    <row r="10" spans="1:39">
      <c r="L10">
        <v>1</v>
      </c>
      <c r="M10" s="2">
        <v>16.294</v>
      </c>
      <c r="N10" s="2">
        <v>15.507999999999999</v>
      </c>
      <c r="O10" s="2"/>
      <c r="P10" s="2"/>
      <c r="Q10" s="2"/>
      <c r="R10" s="2">
        <f t="shared" si="3"/>
        <v>15.901</v>
      </c>
      <c r="S10" s="2">
        <f t="shared" si="0"/>
        <v>0.39300000000000068</v>
      </c>
      <c r="T10" s="5">
        <f t="shared" si="1"/>
        <v>2.4715426702723144</v>
      </c>
      <c r="U10" t="str">
        <f t="shared" si="2"/>
        <v>Y</v>
      </c>
    </row>
    <row r="11" spans="1:39">
      <c r="L11">
        <v>2</v>
      </c>
      <c r="M11" s="2">
        <v>30.652000000000001</v>
      </c>
      <c r="N11" s="2">
        <v>31.512</v>
      </c>
      <c r="O11" s="2"/>
      <c r="P11" s="2"/>
      <c r="Q11" s="2"/>
      <c r="R11" s="2">
        <f t="shared" si="3"/>
        <v>31.082000000000001</v>
      </c>
      <c r="S11" s="2">
        <f t="shared" si="0"/>
        <v>0.42999999999999972</v>
      </c>
      <c r="T11" s="5">
        <f t="shared" si="1"/>
        <v>1.3834373592432911</v>
      </c>
      <c r="U11" t="str">
        <f t="shared" si="2"/>
        <v>Y</v>
      </c>
    </row>
    <row r="12" spans="1:39">
      <c r="L12">
        <v>3</v>
      </c>
      <c r="M12" s="2">
        <v>49.048999999999999</v>
      </c>
      <c r="N12" s="2">
        <v>46.064999999999998</v>
      </c>
      <c r="O12" s="2"/>
      <c r="P12" s="2"/>
      <c r="Q12" s="2"/>
      <c r="R12" s="2">
        <f>AVERAGE(M12:Q12)</f>
        <v>47.557000000000002</v>
      </c>
      <c r="S12" s="2">
        <f t="shared" si="0"/>
        <v>1.4920000000000009</v>
      </c>
      <c r="T12" s="5">
        <f t="shared" si="1"/>
        <v>3.1372878861156104</v>
      </c>
      <c r="U12" t="str">
        <f t="shared" si="2"/>
        <v>Y</v>
      </c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</row>
    <row r="13" spans="1:39" ht="15" thickBot="1">
      <c r="L13">
        <v>4</v>
      </c>
      <c r="M13" s="2">
        <v>57.838999999999999</v>
      </c>
      <c r="N13" s="2">
        <v>64.429000000000002</v>
      </c>
      <c r="R13" s="2">
        <f>AVERAGE(M13:Q13)</f>
        <v>61.134</v>
      </c>
      <c r="S13" s="2">
        <f>_xlfn.STDEV.P(M13:Q13)</f>
        <v>3.2950000000000017</v>
      </c>
      <c r="T13" s="5">
        <f t="shared" si="1"/>
        <v>5.3897994569306791</v>
      </c>
      <c r="U13" t="str">
        <f t="shared" si="2"/>
        <v>Y</v>
      </c>
    </row>
    <row r="14" spans="1:39">
      <c r="A14" s="9" t="s">
        <v>15</v>
      </c>
      <c r="B14" s="10">
        <f>AVERAGE(A3:A7)</f>
        <v>0.251</v>
      </c>
      <c r="C14" s="10"/>
      <c r="D14" s="10" t="s">
        <v>16</v>
      </c>
      <c r="E14" s="11">
        <f>AVERAGE(D3:D5)</f>
        <v>1.7596666666666667</v>
      </c>
      <c r="F14" s="2"/>
      <c r="G14" s="2"/>
      <c r="H14" s="2"/>
    </row>
    <row r="15" spans="1:39">
      <c r="A15" s="12" t="s">
        <v>17</v>
      </c>
      <c r="B15" s="2">
        <f>_xlfn.STDEV.P(A3:A7)</f>
        <v>0.1481526240064617</v>
      </c>
      <c r="C15" s="2"/>
      <c r="D15" s="2" t="s">
        <v>18</v>
      </c>
      <c r="E15" s="13">
        <f>_xlfn.STDEV.P(D3:D5)</f>
        <v>0.24065235414505326</v>
      </c>
      <c r="F15" s="2"/>
      <c r="G15" s="2"/>
      <c r="H15" s="2"/>
    </row>
    <row r="16" spans="1:39">
      <c r="A16" s="12" t="s">
        <v>19</v>
      </c>
      <c r="B16" s="2">
        <f>B14+(1.645*B15)</f>
        <v>0.49471106649062951</v>
      </c>
      <c r="C16" s="2"/>
      <c r="D16" s="2" t="s">
        <v>20</v>
      </c>
      <c r="E16" s="13">
        <f>B16+(1.645*E15)</f>
        <v>0.89058418905924208</v>
      </c>
      <c r="F16" s="2"/>
      <c r="G16" s="2"/>
      <c r="H16" s="2"/>
    </row>
    <row r="17" spans="1:8" ht="15" thickBot="1">
      <c r="A17" s="14" t="s">
        <v>21</v>
      </c>
      <c r="B17" s="15">
        <v>6.2E-2</v>
      </c>
      <c r="C17" s="16"/>
      <c r="D17" s="16" t="s">
        <v>22</v>
      </c>
      <c r="E17" s="17">
        <v>8.7364625588670933E-2</v>
      </c>
      <c r="F17" s="2"/>
      <c r="G17" s="2"/>
      <c r="H17" s="2"/>
    </row>
    <row r="20" spans="1:8">
      <c r="A20" t="s">
        <v>23</v>
      </c>
    </row>
    <row r="21" spans="1:8">
      <c r="C21" t="s">
        <v>24</v>
      </c>
      <c r="D21" t="s">
        <v>25</v>
      </c>
    </row>
    <row r="22" spans="1:8">
      <c r="A22" s="1" t="s">
        <v>26</v>
      </c>
      <c r="B22" s="1" t="s">
        <v>27</v>
      </c>
    </row>
    <row r="23" spans="1:8">
      <c r="A23" s="1" t="s">
        <v>28</v>
      </c>
      <c r="B23" s="3">
        <v>15.814</v>
      </c>
      <c r="C23">
        <f>B23+0.249</f>
        <v>16.062999999999999</v>
      </c>
      <c r="D23">
        <f>B23-0.249</f>
        <v>15.565</v>
      </c>
    </row>
    <row r="24" spans="1:8">
      <c r="A24" s="1" t="s">
        <v>29</v>
      </c>
      <c r="B24" s="3">
        <v>-0.49099999999999999</v>
      </c>
      <c r="C24">
        <f>B24+0.122</f>
        <v>-0.36899999999999999</v>
      </c>
      <c r="D24">
        <f>B24-0.122</f>
        <v>-0.61299999999999999</v>
      </c>
    </row>
    <row r="25" spans="1:8">
      <c r="A25" s="1" t="s">
        <v>30</v>
      </c>
      <c r="B25">
        <v>3.0298000000000003</v>
      </c>
    </row>
    <row r="26" spans="1:8">
      <c r="A26" s="1" t="s">
        <v>31</v>
      </c>
      <c r="B26" s="4">
        <f>(B25-B24)/B23</f>
        <v>0.22263816871126851</v>
      </c>
      <c r="C26" s="4">
        <f>(B25-(C24))/C23</f>
        <v>0.21159185706281522</v>
      </c>
      <c r="D26" s="4">
        <f>(B25-(D24))/D23</f>
        <v>0.23403790555734022</v>
      </c>
      <c r="E26" s="2">
        <f>B26-C26</f>
        <v>1.1046311648453294E-2</v>
      </c>
    </row>
    <row r="27" spans="1:8">
      <c r="B27">
        <f>B26*10</f>
        <v>2.2263816871126849</v>
      </c>
      <c r="C27">
        <f t="shared" ref="C27:D27" si="4">C26*10</f>
        <v>2.115918570628152</v>
      </c>
      <c r="D27">
        <f t="shared" si="4"/>
        <v>2.3403790555734023</v>
      </c>
      <c r="E27" s="2">
        <f>B27-C27</f>
        <v>0.11046311648453289</v>
      </c>
    </row>
    <row r="28" spans="1:8">
      <c r="B28" s="5">
        <f>((B27)/50)*100</f>
        <v>4.4527633742253698</v>
      </c>
      <c r="C28" s="5">
        <f t="shared" ref="C28:D28" si="5">((C27)/50)*100</f>
        <v>4.2318371412563041</v>
      </c>
      <c r="D28" s="5">
        <f t="shared" si="5"/>
        <v>4.6807581111468046</v>
      </c>
    </row>
  </sheetData>
  <conditionalFormatting sqref="T4:T13">
    <cfRule type="cellIs" dxfId="13" priority="5" stopIfTrue="1" operator="between">
      <formula>15</formula>
      <formula>20</formula>
    </cfRule>
    <cfRule type="cellIs" dxfId="12" priority="6" operator="lessThan">
      <formula>20</formula>
    </cfRule>
    <cfRule type="cellIs" dxfId="11" priority="7" operator="greaterThan">
      <formula>19</formula>
    </cfRule>
  </conditionalFormatting>
  <conditionalFormatting sqref="U4:U13">
    <cfRule type="cellIs" dxfId="10" priority="3" operator="equal">
      <formula>"N"</formula>
    </cfRule>
    <cfRule type="cellIs" dxfId="9" priority="4" operator="equal">
      <formula>"Y"</formula>
    </cfRule>
  </conditionalFormatting>
  <conditionalFormatting sqref="Z13:AM13">
    <cfRule type="cellIs" dxfId="8" priority="1" operator="equal">
      <formula>"N"</formula>
    </cfRule>
    <cfRule type="cellIs" dxfId="7" priority="2" operator="equal">
      <formula>"Y"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359B3-BDCA-465A-A697-FC122AA2105B}">
  <dimension ref="A1:AM28"/>
  <sheetViews>
    <sheetView tabSelected="1" zoomScale="70" zoomScaleNormal="70" workbookViewId="0">
      <selection activeCell="E29" sqref="E29"/>
    </sheetView>
  </sheetViews>
  <sheetFormatPr defaultRowHeight="14.4"/>
  <cols>
    <col min="1" max="1" width="16.6640625" bestFit="1" customWidth="1"/>
    <col min="2" max="2" width="13.88671875" bestFit="1" customWidth="1"/>
    <col min="3" max="3" width="11.5546875" bestFit="1" customWidth="1"/>
    <col min="4" max="4" width="12.109375" bestFit="1" customWidth="1"/>
    <col min="7" max="7" width="10.5546875" bestFit="1" customWidth="1"/>
    <col min="11" max="11" width="9.6640625" bestFit="1" customWidth="1"/>
    <col min="12" max="12" width="21.33203125" bestFit="1" customWidth="1"/>
    <col min="18" max="18" width="7.88671875" bestFit="1" customWidth="1"/>
    <col min="20" max="20" width="14.6640625" bestFit="1" customWidth="1"/>
    <col min="21" max="21" width="9.33203125" bestFit="1" customWidth="1"/>
  </cols>
  <sheetData>
    <row r="1" spans="1:39">
      <c r="A1" t="s">
        <v>0</v>
      </c>
      <c r="L1" t="s">
        <v>1</v>
      </c>
    </row>
    <row r="2" spans="1:39">
      <c r="A2" t="s">
        <v>2</v>
      </c>
      <c r="D2">
        <v>0.1</v>
      </c>
      <c r="L2" s="6" t="s">
        <v>3</v>
      </c>
    </row>
    <row r="3" spans="1:39" ht="16.2">
      <c r="A3" s="2">
        <v>0.373</v>
      </c>
      <c r="D3" s="2">
        <v>1.4470000000000001</v>
      </c>
      <c r="L3" t="s">
        <v>4</v>
      </c>
      <c r="M3" t="s">
        <v>32</v>
      </c>
      <c r="N3" t="s">
        <v>6</v>
      </c>
      <c r="O3" t="s">
        <v>7</v>
      </c>
      <c r="P3" t="s">
        <v>8</v>
      </c>
      <c r="Q3" t="s">
        <v>9</v>
      </c>
      <c r="R3" t="s">
        <v>10</v>
      </c>
      <c r="S3" t="s">
        <v>11</v>
      </c>
      <c r="T3" t="s">
        <v>12</v>
      </c>
      <c r="U3" t="s">
        <v>13</v>
      </c>
    </row>
    <row r="4" spans="1:39">
      <c r="A4" s="2">
        <v>8.5999999999999993E-2</v>
      </c>
      <c r="D4" s="2">
        <v>1.7350000000000001</v>
      </c>
      <c r="L4">
        <v>0.05</v>
      </c>
      <c r="M4" s="2"/>
      <c r="N4" s="2">
        <v>0.60599999999999998</v>
      </c>
      <c r="O4" s="2">
        <v>0.72499999999999998</v>
      </c>
      <c r="P4" s="2">
        <v>0.71</v>
      </c>
      <c r="Q4" s="2">
        <v>0.96399999999999997</v>
      </c>
      <c r="R4" s="2">
        <f t="shared" ref="R4:R12" si="0">AVERAGE(M4:Q4)</f>
        <v>0.75124999999999997</v>
      </c>
      <c r="S4" s="2">
        <f t="shared" ref="S4:S12" si="1">_xlfn.STDEV.P(M4:Q4)</f>
        <v>0.13110182111626059</v>
      </c>
      <c r="T4" s="5">
        <f t="shared" ref="T4:T12" si="2">(S4/R4)*100</f>
        <v>17.451157552913223</v>
      </c>
      <c r="U4" t="str">
        <f t="shared" ref="U4:U12" si="3">IF(R4&gt;=5*$B$16,"Y","N")</f>
        <v>N</v>
      </c>
    </row>
    <row r="5" spans="1:39">
      <c r="A5" s="2">
        <v>0.47599999999999998</v>
      </c>
      <c r="D5" s="2">
        <v>1.621</v>
      </c>
      <c r="L5">
        <v>0.1</v>
      </c>
      <c r="M5" s="2"/>
      <c r="N5" s="2">
        <v>1.4470000000000001</v>
      </c>
      <c r="O5" s="2">
        <v>1.7350000000000001</v>
      </c>
      <c r="P5" s="2">
        <v>1.621</v>
      </c>
      <c r="Q5" s="2"/>
      <c r="R5" s="2">
        <f t="shared" si="0"/>
        <v>1.6010000000000002</v>
      </c>
      <c r="S5" s="2">
        <f t="shared" si="1"/>
        <v>0.11842297074469971</v>
      </c>
      <c r="T5" s="5">
        <f t="shared" si="2"/>
        <v>7.3968126636289631</v>
      </c>
      <c r="U5" t="str">
        <f>IF(R5&gt;=5*$B$16,"Y","N")</f>
        <v>N</v>
      </c>
    </row>
    <row r="6" spans="1:39">
      <c r="A6" s="2">
        <v>0.14499999999999999</v>
      </c>
      <c r="L6" s="22">
        <v>0.2</v>
      </c>
      <c r="M6" s="23">
        <v>2.2400000000000002</v>
      </c>
      <c r="N6" s="23">
        <v>2.6179999999999999</v>
      </c>
      <c r="O6" s="23">
        <v>2.7330000000000001</v>
      </c>
      <c r="P6" s="23">
        <v>3.0209999999999999</v>
      </c>
      <c r="Q6" s="23"/>
      <c r="R6" s="23">
        <f t="shared" si="0"/>
        <v>2.6530000000000005</v>
      </c>
      <c r="S6" s="23">
        <f t="shared" si="1"/>
        <v>0.28000803559897663</v>
      </c>
      <c r="T6" s="24">
        <f t="shared" si="2"/>
        <v>10.554392597021355</v>
      </c>
      <c r="U6" s="25" t="str">
        <f t="shared" si="3"/>
        <v>Y</v>
      </c>
      <c r="V6" t="s">
        <v>14</v>
      </c>
    </row>
    <row r="7" spans="1:39">
      <c r="A7" s="2">
        <v>0.17499999999999999</v>
      </c>
      <c r="L7">
        <v>0.3</v>
      </c>
      <c r="M7" s="2">
        <v>3.8090000000000002</v>
      </c>
      <c r="N7" s="2">
        <v>2.875</v>
      </c>
      <c r="O7" s="2">
        <v>4.5430000000000001</v>
      </c>
      <c r="P7" s="2">
        <v>2.96</v>
      </c>
      <c r="Q7" s="2"/>
      <c r="R7" s="2">
        <f t="shared" si="0"/>
        <v>3.5467500000000003</v>
      </c>
      <c r="S7" s="2">
        <f t="shared" si="1"/>
        <v>0.6813245830732948</v>
      </c>
      <c r="T7" s="5">
        <f t="shared" si="2"/>
        <v>19.209828239185018</v>
      </c>
      <c r="U7" t="str">
        <f t="shared" si="3"/>
        <v>Y</v>
      </c>
    </row>
    <row r="8" spans="1:39">
      <c r="L8">
        <v>0.4</v>
      </c>
      <c r="M8" s="2">
        <v>6.2590000000000003</v>
      </c>
      <c r="N8" s="2">
        <v>5.91</v>
      </c>
      <c r="O8" s="2"/>
      <c r="P8" s="2"/>
      <c r="Q8" s="2"/>
      <c r="R8" s="2">
        <f t="shared" si="0"/>
        <v>6.0845000000000002</v>
      </c>
      <c r="S8" s="2">
        <f t="shared" si="1"/>
        <v>0.1745000000000001</v>
      </c>
      <c r="T8" s="5">
        <f t="shared" si="2"/>
        <v>2.8679431341934438</v>
      </c>
      <c r="U8" t="str">
        <f t="shared" si="3"/>
        <v>Y</v>
      </c>
    </row>
    <row r="9" spans="1:39">
      <c r="L9">
        <v>0.5</v>
      </c>
      <c r="M9" s="2">
        <v>7.774</v>
      </c>
      <c r="N9" s="2">
        <v>8.1679999999999993</v>
      </c>
      <c r="O9" s="2"/>
      <c r="P9" s="2"/>
      <c r="Q9" s="2"/>
      <c r="R9" s="2">
        <f t="shared" si="0"/>
        <v>7.9710000000000001</v>
      </c>
      <c r="S9" s="2">
        <f t="shared" si="1"/>
        <v>0.19699999999999962</v>
      </c>
      <c r="T9" s="5">
        <f t="shared" si="2"/>
        <v>2.4714590390164299</v>
      </c>
      <c r="U9" t="str">
        <f t="shared" si="3"/>
        <v>Y</v>
      </c>
    </row>
    <row r="10" spans="1:39">
      <c r="L10">
        <v>1</v>
      </c>
      <c r="M10" s="2">
        <v>16.105</v>
      </c>
      <c r="N10" s="2">
        <v>15.536</v>
      </c>
      <c r="O10" s="2"/>
      <c r="P10" s="2"/>
      <c r="Q10" s="2"/>
      <c r="R10" s="2">
        <f t="shared" si="0"/>
        <v>15.820499999999999</v>
      </c>
      <c r="S10" s="2">
        <f t="shared" si="1"/>
        <v>0.28450000000000042</v>
      </c>
      <c r="T10" s="5">
        <f t="shared" si="2"/>
        <v>1.7982996744729967</v>
      </c>
      <c r="U10" t="str">
        <f t="shared" si="3"/>
        <v>Y</v>
      </c>
    </row>
    <row r="11" spans="1:39">
      <c r="L11">
        <v>2</v>
      </c>
      <c r="M11" s="2">
        <v>31.018000000000001</v>
      </c>
      <c r="N11" s="2">
        <v>30.739000000000001</v>
      </c>
      <c r="O11" s="2"/>
      <c r="P11" s="2"/>
      <c r="Q11" s="2"/>
      <c r="R11" s="2">
        <f t="shared" si="0"/>
        <v>30.878500000000003</v>
      </c>
      <c r="S11" s="2">
        <f t="shared" si="1"/>
        <v>0.13949999999999996</v>
      </c>
      <c r="T11" s="5">
        <f t="shared" si="2"/>
        <v>0.4517706494810303</v>
      </c>
      <c r="U11" t="str">
        <f t="shared" si="3"/>
        <v>Y</v>
      </c>
    </row>
    <row r="12" spans="1:39">
      <c r="L12">
        <v>3</v>
      </c>
      <c r="M12" s="2">
        <v>46.752000000000002</v>
      </c>
      <c r="N12" s="2">
        <v>45.273000000000003</v>
      </c>
      <c r="O12" s="2"/>
      <c r="P12" s="2"/>
      <c r="Q12" s="2"/>
      <c r="R12" s="2">
        <f t="shared" si="0"/>
        <v>46.012500000000003</v>
      </c>
      <c r="S12" s="2">
        <f t="shared" si="1"/>
        <v>0.7394999999999996</v>
      </c>
      <c r="T12" s="5">
        <f t="shared" si="2"/>
        <v>1.6071719641401785</v>
      </c>
      <c r="U12" t="str">
        <f t="shared" si="3"/>
        <v>Y</v>
      </c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</row>
    <row r="14" spans="1:39">
      <c r="A14" t="s">
        <v>15</v>
      </c>
      <c r="B14" s="2">
        <f>AVERAGE(A3:A7)</f>
        <v>0.251</v>
      </c>
      <c r="C14" s="2"/>
      <c r="D14" s="2" t="s">
        <v>16</v>
      </c>
      <c r="E14" s="2">
        <f>AVERAGE(D3:D6)</f>
        <v>1.6010000000000002</v>
      </c>
      <c r="F14" s="2"/>
      <c r="G14" s="2"/>
      <c r="H14" s="2"/>
    </row>
    <row r="15" spans="1:39">
      <c r="A15" t="s">
        <v>17</v>
      </c>
      <c r="B15" s="2">
        <f>_xlfn.STDEV.P(A3:A7)</f>
        <v>0.1481526240064617</v>
      </c>
      <c r="C15" s="2"/>
      <c r="D15" s="2" t="s">
        <v>18</v>
      </c>
      <c r="E15" s="2">
        <f>_xlfn.STDEV.P(D3:D6)</f>
        <v>0.11842297074469971</v>
      </c>
      <c r="F15" s="2"/>
      <c r="G15" s="2"/>
      <c r="H15" s="2"/>
    </row>
    <row r="16" spans="1:39">
      <c r="A16" t="s">
        <v>19</v>
      </c>
      <c r="B16" s="2">
        <f>B14+(1.645*B15)</f>
        <v>0.49471106649062951</v>
      </c>
      <c r="C16" s="2"/>
      <c r="D16" s="2" t="s">
        <v>20</v>
      </c>
      <c r="E16" s="2">
        <f>B16+(1.645*E15)</f>
        <v>0.6895168533656606</v>
      </c>
      <c r="F16" s="2"/>
      <c r="G16" s="2"/>
      <c r="H16" s="2"/>
    </row>
    <row r="17" spans="1:8">
      <c r="A17" t="s">
        <v>21</v>
      </c>
      <c r="B17" s="7">
        <v>4.2000000000000003E-2</v>
      </c>
      <c r="C17" s="2"/>
      <c r="D17" s="2" t="s">
        <v>22</v>
      </c>
      <c r="E17" s="7">
        <v>5.5E-2</v>
      </c>
      <c r="F17" s="2"/>
      <c r="G17" s="2"/>
      <c r="H17" s="2"/>
    </row>
    <row r="20" spans="1:8">
      <c r="A20" t="s">
        <v>23</v>
      </c>
    </row>
    <row r="21" spans="1:8">
      <c r="C21" t="s">
        <v>24</v>
      </c>
      <c r="D21" t="s">
        <v>25</v>
      </c>
    </row>
    <row r="22" spans="1:8">
      <c r="A22" s="1" t="s">
        <v>26</v>
      </c>
      <c r="B22" s="1" t="s">
        <v>27</v>
      </c>
    </row>
    <row r="23" spans="1:8">
      <c r="A23" s="1" t="s">
        <v>28</v>
      </c>
      <c r="B23" s="3">
        <v>15.462999999999999</v>
      </c>
      <c r="C23">
        <f>B23+0.162</f>
        <v>15.625</v>
      </c>
      <c r="D23">
        <f>B23-0.162</f>
        <v>15.300999999999998</v>
      </c>
    </row>
    <row r="24" spans="1:8">
      <c r="A24" s="1" t="s">
        <v>29</v>
      </c>
      <c r="B24" s="3">
        <v>-0.158</v>
      </c>
      <c r="C24">
        <f>B24+0.206</f>
        <v>4.7999999999999987E-2</v>
      </c>
      <c r="D24">
        <f>B24-0.206</f>
        <v>-0.36399999999999999</v>
      </c>
    </row>
    <row r="25" spans="1:8">
      <c r="A25" s="1" t="s">
        <v>30</v>
      </c>
      <c r="B25">
        <v>2.6530000000000005</v>
      </c>
    </row>
    <row r="26" spans="1:8">
      <c r="A26" s="1" t="s">
        <v>31</v>
      </c>
      <c r="B26" s="4">
        <f>(B25-B24)/B23</f>
        <v>0.18178878613464403</v>
      </c>
      <c r="C26" s="4">
        <f>(B25-(C24))/C23</f>
        <v>0.16672000000000003</v>
      </c>
      <c r="D26" s="4">
        <f>(B25-(D24))/D23</f>
        <v>0.19717665512058039</v>
      </c>
      <c r="E26" s="2">
        <f>B26-C26</f>
        <v>1.5068786134643991E-2</v>
      </c>
    </row>
    <row r="27" spans="1:8">
      <c r="B27">
        <f>B26*10</f>
        <v>1.8178878613464402</v>
      </c>
      <c r="C27">
        <f t="shared" ref="C27:D27" si="4">C26*10</f>
        <v>1.6672000000000002</v>
      </c>
      <c r="D27">
        <f t="shared" si="4"/>
        <v>1.9717665512058038</v>
      </c>
      <c r="E27" s="2">
        <f>B27-C27</f>
        <v>0.15068786134643997</v>
      </c>
    </row>
    <row r="28" spans="1:8">
      <c r="B28" s="5">
        <f>((B27)/50)*100</f>
        <v>3.6357757226928809</v>
      </c>
      <c r="C28" s="5">
        <f t="shared" ref="C28:D28" si="5">((C27)/50)*100</f>
        <v>3.3344000000000005</v>
      </c>
      <c r="D28" s="5">
        <f t="shared" si="5"/>
        <v>3.9435331024116076</v>
      </c>
    </row>
  </sheetData>
  <conditionalFormatting sqref="T4:T12">
    <cfRule type="cellIs" dxfId="6" priority="8" stopIfTrue="1" operator="between">
      <formula>15</formula>
      <formula>20</formula>
    </cfRule>
    <cfRule type="cellIs" dxfId="5" priority="9" operator="lessThan">
      <formula>20</formula>
    </cfRule>
    <cfRule type="cellIs" dxfId="4" priority="10" operator="greaterThan">
      <formula>19</formula>
    </cfRule>
  </conditionalFormatting>
  <conditionalFormatting sqref="U4:U12">
    <cfRule type="cellIs" dxfId="3" priority="6" operator="equal">
      <formula>"N"</formula>
    </cfRule>
    <cfRule type="cellIs" dxfId="2" priority="7" operator="equal">
      <formula>"Y"</formula>
    </cfRule>
  </conditionalFormatting>
  <conditionalFormatting sqref="Z13:AM13">
    <cfRule type="cellIs" dxfId="1" priority="1" operator="equal">
      <formula>"N"</formula>
    </cfRule>
    <cfRule type="cellIs" dxfId="0" priority="2" operator="equal">
      <formula>"Y"</formula>
    </cfRule>
  </conditionalFormatting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bdb74b30-9568-4856-bdbf-06759778fcbc}" enabled="0" method="" siteId="{bdb74b30-9568-4856-bdbf-06759778fcb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PVP 40kDa</vt:lpstr>
      <vt:lpstr>PVP 360 kDa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Eve</dc:creator>
  <cp:keywords/>
  <dc:description/>
  <cp:lastModifiedBy>Eve Tarring</cp:lastModifiedBy>
  <cp:revision/>
  <dcterms:created xsi:type="dcterms:W3CDTF">2023-08-11T07:15:47Z</dcterms:created>
  <dcterms:modified xsi:type="dcterms:W3CDTF">2024-10-29T11:30:36Z</dcterms:modified>
  <cp:category/>
  <cp:contentStatus/>
</cp:coreProperties>
</file>