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7"/>
  <workbookPr defaultThemeVersion="166925"/>
  <mc:AlternateContent xmlns:mc="http://schemas.openxmlformats.org/markup-compatibility/2006">
    <mc:Choice Requires="x15">
      <x15ac:absPath xmlns:x15ac="http://schemas.microsoft.com/office/spreadsheetml/2010/11/ac" url="https://d.docs.live.net/d732756fb40b73c1/Documents/PhD/Chapter 3 - Occurence and transport/"/>
    </mc:Choice>
  </mc:AlternateContent>
  <xr:revisionPtr revIDLastSave="0" documentId="8_{A3C90455-A939-B549-8712-635B965D14E2}" xr6:coauthVersionLast="47" xr6:coauthVersionMax="47" xr10:uidLastSave="{00000000-0000-0000-0000-000000000000}"/>
  <bookViews>
    <workbookView xWindow="1200" yWindow="740" windowWidth="28200" windowHeight="17100" xr2:uid="{A797C9EF-014E-3A4F-8105-F9918CD72563}"/>
  </bookViews>
  <sheets>
    <sheet name="Wet wipe Calculations" sheetId="3" r:id="rId1"/>
    <sheet name="Natural Fibres" sheetId="1" r:id="rId2"/>
    <sheet name="Regenerated Fibres" sheetId="5" r:id="rId3"/>
    <sheet name="Plastic fibres" sheetId="6" r:id="rId4"/>
    <sheet name="Solids" sheetId="2" r:id="rId5"/>
    <sheet name="Solids for Swiss comparison" sheetId="13" r:id="rId6"/>
    <sheet name="Natural Laundry" sheetId="8" r:id="rId7"/>
    <sheet name="Plastic laundry" sheetId="9" r:id="rId8"/>
    <sheet name="Laundry Fibres TOTAL" sheetId="10" r:id="rId9"/>
    <sheet name="2 Natural Laundry" sheetId="16" r:id="rId10"/>
    <sheet name="2 Plastic Laundry" sheetId="18"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X25" i="6" l="1"/>
  <c r="DZ25" i="6"/>
  <c r="EB25" i="6"/>
  <c r="EB5" i="6"/>
  <c r="EA25" i="6"/>
  <c r="EA5" i="6"/>
  <c r="DZ5" i="6"/>
  <c r="DY25" i="6"/>
  <c r="DY5" i="6"/>
  <c r="DX5" i="6"/>
  <c r="DW25" i="6"/>
  <c r="DW5" i="6"/>
  <c r="DV25" i="6"/>
  <c r="DU25" i="6"/>
  <c r="DV5" i="6"/>
  <c r="DU5" i="6"/>
  <c r="DT25" i="6"/>
  <c r="DT5" i="6"/>
  <c r="EB25" i="5"/>
  <c r="EB5" i="5"/>
  <c r="EA25" i="5"/>
  <c r="EA5" i="5"/>
  <c r="DZ25" i="5"/>
  <c r="DZ5" i="5"/>
  <c r="DY25" i="5"/>
  <c r="DY5" i="5"/>
  <c r="DX25" i="5"/>
  <c r="DW25" i="5"/>
  <c r="DW5" i="5"/>
  <c r="DX5" i="5"/>
  <c r="DV25" i="5"/>
  <c r="DU25" i="5"/>
  <c r="DT25" i="5"/>
  <c r="DV5" i="5"/>
  <c r="DU5" i="5"/>
  <c r="DT5" i="5"/>
  <c r="EB5" i="1"/>
  <c r="EC5" i="1"/>
  <c r="EC25" i="1"/>
  <c r="EB25" i="1"/>
  <c r="EA25" i="1"/>
  <c r="EA5" i="1"/>
  <c r="DZ25" i="1"/>
  <c r="DZ5" i="1"/>
  <c r="DY25" i="1"/>
  <c r="DY5" i="1"/>
  <c r="DX25" i="1"/>
  <c r="DX5" i="1"/>
  <c r="DW25" i="1"/>
  <c r="DW5" i="1"/>
  <c r="DV25" i="1"/>
  <c r="DV5" i="1"/>
  <c r="DU25" i="1"/>
  <c r="DU5" i="1"/>
  <c r="M50" i="5"/>
  <c r="M49" i="5"/>
  <c r="M48" i="5"/>
  <c r="M47" i="5"/>
  <c r="M46" i="5"/>
  <c r="M45" i="5"/>
  <c r="M44" i="5"/>
  <c r="M43" i="5"/>
  <c r="M42" i="5"/>
  <c r="M41" i="5"/>
  <c r="M40" i="5"/>
  <c r="M39" i="5"/>
  <c r="M38" i="5"/>
  <c r="M37" i="5"/>
  <c r="M36" i="5"/>
  <c r="M35" i="5"/>
  <c r="M34" i="5"/>
  <c r="M33" i="5"/>
  <c r="M32" i="5"/>
  <c r="M31" i="5"/>
  <c r="M30" i="5"/>
  <c r="M29" i="5"/>
  <c r="M28" i="5"/>
  <c r="M27" i="5"/>
  <c r="M26" i="5"/>
  <c r="M25" i="5"/>
  <c r="M22" i="5"/>
  <c r="M21" i="5"/>
  <c r="M20" i="5"/>
  <c r="M19" i="5"/>
  <c r="M18" i="5"/>
  <c r="M17" i="5"/>
  <c r="M16" i="5"/>
  <c r="M15" i="5"/>
  <c r="M14" i="5"/>
  <c r="M13" i="5"/>
  <c r="M12" i="5"/>
  <c r="M11" i="5"/>
  <c r="M10" i="5"/>
  <c r="M9" i="5"/>
  <c r="M8" i="5"/>
  <c r="M7" i="5"/>
  <c r="M6" i="5"/>
  <c r="M5" i="5"/>
  <c r="L50" i="5"/>
  <c r="L49" i="5"/>
  <c r="L48" i="5"/>
  <c r="L47" i="5"/>
  <c r="L46" i="5"/>
  <c r="P46" i="5" s="1"/>
  <c r="L45" i="5"/>
  <c r="L44" i="5"/>
  <c r="P44" i="5" s="1"/>
  <c r="L43" i="5"/>
  <c r="L42" i="5"/>
  <c r="L41" i="5"/>
  <c r="L40" i="5"/>
  <c r="L39" i="5"/>
  <c r="L38" i="5"/>
  <c r="P38" i="5" s="1"/>
  <c r="Y38" i="5" s="1"/>
  <c r="L37" i="5"/>
  <c r="L36" i="5"/>
  <c r="L35" i="5"/>
  <c r="P35" i="5" s="1"/>
  <c r="Y35" i="5" s="1"/>
  <c r="L34" i="5"/>
  <c r="L33" i="5"/>
  <c r="L32" i="5"/>
  <c r="L31" i="5"/>
  <c r="L30" i="5"/>
  <c r="P30" i="5" s="1"/>
  <c r="L29" i="5"/>
  <c r="L28" i="5"/>
  <c r="P28" i="5" s="1"/>
  <c r="L27" i="5"/>
  <c r="L26" i="5"/>
  <c r="L25" i="5"/>
  <c r="K5" i="5"/>
  <c r="L22" i="5"/>
  <c r="L21" i="5"/>
  <c r="L20" i="5"/>
  <c r="L19" i="5"/>
  <c r="L18" i="5"/>
  <c r="L17" i="5"/>
  <c r="L16" i="5"/>
  <c r="L15" i="5"/>
  <c r="L14" i="5"/>
  <c r="L13" i="5"/>
  <c r="L12" i="5"/>
  <c r="L11" i="5"/>
  <c r="L10" i="5"/>
  <c r="L9" i="5"/>
  <c r="L8" i="5"/>
  <c r="L7" i="5"/>
  <c r="L6" i="5"/>
  <c r="L5" i="5"/>
  <c r="K50" i="5"/>
  <c r="K49" i="5"/>
  <c r="K48" i="5"/>
  <c r="K47" i="5"/>
  <c r="O47" i="5" s="1"/>
  <c r="K46" i="5"/>
  <c r="O46" i="5" s="1"/>
  <c r="K45" i="5"/>
  <c r="K44" i="5"/>
  <c r="K43" i="5"/>
  <c r="K42" i="5"/>
  <c r="K41" i="5"/>
  <c r="K40" i="5"/>
  <c r="K39" i="5"/>
  <c r="O39" i="5" s="1"/>
  <c r="K38" i="5"/>
  <c r="O38" i="5" s="1"/>
  <c r="AA38" i="5" s="1"/>
  <c r="K37" i="5"/>
  <c r="K36" i="5"/>
  <c r="K35" i="5"/>
  <c r="K34" i="5"/>
  <c r="K33" i="5"/>
  <c r="K32" i="5"/>
  <c r="K31" i="5"/>
  <c r="O31" i="5" s="1"/>
  <c r="AA31" i="5" s="1"/>
  <c r="K30" i="5"/>
  <c r="O30" i="5" s="1"/>
  <c r="K29" i="5"/>
  <c r="K28" i="5"/>
  <c r="K27" i="5"/>
  <c r="K26" i="5"/>
  <c r="K25" i="5"/>
  <c r="K22" i="5"/>
  <c r="K21" i="5"/>
  <c r="K20" i="5"/>
  <c r="K19" i="5"/>
  <c r="K18" i="5"/>
  <c r="O18" i="5" s="1"/>
  <c r="X18" i="5" s="1"/>
  <c r="K17" i="5"/>
  <c r="K16" i="5"/>
  <c r="K15" i="5"/>
  <c r="K14" i="5"/>
  <c r="K13" i="5"/>
  <c r="K12" i="5"/>
  <c r="K11" i="5"/>
  <c r="K10" i="5"/>
  <c r="O10" i="5" s="1"/>
  <c r="X10" i="5" s="1"/>
  <c r="K9" i="5"/>
  <c r="K8" i="5"/>
  <c r="K7" i="5"/>
  <c r="K6" i="5"/>
  <c r="O49" i="5"/>
  <c r="O41" i="5"/>
  <c r="O33" i="5"/>
  <c r="AA33" i="5" s="1"/>
  <c r="O25" i="5"/>
  <c r="AA25" i="5" s="1"/>
  <c r="P47" i="5"/>
  <c r="P45" i="5"/>
  <c r="P43" i="5"/>
  <c r="P39" i="5"/>
  <c r="P37" i="5"/>
  <c r="P36" i="5"/>
  <c r="Y36" i="5" s="1"/>
  <c r="P31" i="5"/>
  <c r="Y31" i="5" s="1"/>
  <c r="P29" i="5"/>
  <c r="Y29" i="5" s="1"/>
  <c r="P27" i="5"/>
  <c r="Y27" i="5" s="1"/>
  <c r="T25" i="9"/>
  <c r="K5" i="8"/>
  <c r="P50" i="1"/>
  <c r="P49" i="1"/>
  <c r="P48" i="1"/>
  <c r="P47" i="1"/>
  <c r="P46" i="1"/>
  <c r="P45" i="1"/>
  <c r="P44" i="1"/>
  <c r="P43" i="1"/>
  <c r="P42" i="1"/>
  <c r="P41" i="1"/>
  <c r="P40" i="1"/>
  <c r="P39" i="1"/>
  <c r="P38" i="1"/>
  <c r="P37" i="1"/>
  <c r="P36" i="1"/>
  <c r="P35" i="1"/>
  <c r="P34" i="1"/>
  <c r="P33" i="1"/>
  <c r="P32" i="1"/>
  <c r="P31" i="1"/>
  <c r="P30" i="1"/>
  <c r="P29" i="1"/>
  <c r="P28" i="1"/>
  <c r="P27" i="1"/>
  <c r="P26" i="1"/>
  <c r="P25" i="1"/>
  <c r="O25" i="18"/>
  <c r="AK50" i="18"/>
  <c r="AL50" i="18" s="1"/>
  <c r="O50" i="18"/>
  <c r="X50" i="18" s="1"/>
  <c r="F50" i="18"/>
  <c r="AK49" i="18"/>
  <c r="O49" i="18"/>
  <c r="AA49" i="18" s="1"/>
  <c r="F49" i="18"/>
  <c r="AL48" i="18"/>
  <c r="AK48" i="18"/>
  <c r="O48" i="18"/>
  <c r="F48" i="18"/>
  <c r="AK47" i="18"/>
  <c r="AL47" i="18" s="1"/>
  <c r="O47" i="18"/>
  <c r="AA47" i="18" s="1"/>
  <c r="F47" i="18"/>
  <c r="AK46" i="18"/>
  <c r="AL46" i="18" s="1"/>
  <c r="O46" i="18"/>
  <c r="X46" i="18" s="1"/>
  <c r="F46" i="18"/>
  <c r="AK45" i="18"/>
  <c r="O45" i="18"/>
  <c r="AA45" i="18" s="1"/>
  <c r="F45" i="18"/>
  <c r="AK44" i="18"/>
  <c r="AL44" i="18" s="1"/>
  <c r="O44" i="18"/>
  <c r="F44" i="18"/>
  <c r="AK43" i="18"/>
  <c r="AL43" i="18" s="1"/>
  <c r="X43" i="18"/>
  <c r="O43" i="18"/>
  <c r="AA43" i="18" s="1"/>
  <c r="AR43" i="18" s="1"/>
  <c r="AS43" i="18" s="1"/>
  <c r="F43" i="18"/>
  <c r="AK42" i="18"/>
  <c r="AA42" i="18"/>
  <c r="O42" i="18"/>
  <c r="X42" i="18" s="1"/>
  <c r="F42" i="18"/>
  <c r="AK41" i="18"/>
  <c r="O41" i="18"/>
  <c r="AA41" i="18" s="1"/>
  <c r="F41" i="18"/>
  <c r="AK40" i="18"/>
  <c r="AL40" i="18" s="1"/>
  <c r="O40" i="18"/>
  <c r="F40" i="18"/>
  <c r="AK39" i="18"/>
  <c r="AL39" i="18" s="1"/>
  <c r="O39" i="18"/>
  <c r="AA39" i="18" s="1"/>
  <c r="F39" i="18"/>
  <c r="AK38" i="18"/>
  <c r="AL38" i="18" s="1"/>
  <c r="O38" i="18"/>
  <c r="AA38" i="18" s="1"/>
  <c r="F38" i="18"/>
  <c r="AK37" i="18"/>
  <c r="O37" i="18"/>
  <c r="AA37" i="18" s="1"/>
  <c r="F37" i="18"/>
  <c r="AK36" i="18"/>
  <c r="AL36" i="18" s="1"/>
  <c r="O36" i="18"/>
  <c r="F36" i="18"/>
  <c r="AK35" i="18"/>
  <c r="AL35" i="18" s="1"/>
  <c r="X35" i="18"/>
  <c r="O35" i="18"/>
  <c r="AA35" i="18" s="1"/>
  <c r="AR35" i="18" s="1"/>
  <c r="AS35" i="18" s="1"/>
  <c r="F35" i="18"/>
  <c r="AK34" i="18"/>
  <c r="AL34" i="18" s="1"/>
  <c r="O34" i="18"/>
  <c r="AA34" i="18" s="1"/>
  <c r="F34" i="18"/>
  <c r="AK33" i="18"/>
  <c r="O33" i="18"/>
  <c r="X33" i="18" s="1"/>
  <c r="F33" i="18"/>
  <c r="AL32" i="18"/>
  <c r="AK32" i="18"/>
  <c r="O32" i="18"/>
  <c r="F32" i="18"/>
  <c r="AL31" i="18"/>
  <c r="AK31" i="18"/>
  <c r="O31" i="18"/>
  <c r="AA31" i="18" s="1"/>
  <c r="AR31" i="18" s="1"/>
  <c r="AS31" i="18" s="1"/>
  <c r="F31" i="18"/>
  <c r="AK30" i="18"/>
  <c r="AL30" i="18" s="1"/>
  <c r="X30" i="18"/>
  <c r="O30" i="18"/>
  <c r="AA30" i="18" s="1"/>
  <c r="AR30" i="18" s="1"/>
  <c r="AS30" i="18" s="1"/>
  <c r="F30" i="18"/>
  <c r="AK29" i="18"/>
  <c r="AA29" i="18"/>
  <c r="O29" i="18"/>
  <c r="X29" i="18" s="1"/>
  <c r="F29" i="18"/>
  <c r="AK28" i="18"/>
  <c r="AL28" i="18" s="1"/>
  <c r="O28" i="18"/>
  <c r="F28" i="18"/>
  <c r="AK27" i="18"/>
  <c r="AL27" i="18" s="1"/>
  <c r="O27" i="18"/>
  <c r="AA27" i="18" s="1"/>
  <c r="F27" i="18"/>
  <c r="AK26" i="18"/>
  <c r="AL26" i="18" s="1"/>
  <c r="O26" i="18"/>
  <c r="AA26" i="18" s="1"/>
  <c r="F26" i="18"/>
  <c r="CX25" i="18"/>
  <c r="CD25" i="18"/>
  <c r="CC25" i="18"/>
  <c r="BR25" i="18"/>
  <c r="BQ25" i="18"/>
  <c r="BP25" i="18"/>
  <c r="AL25" i="18"/>
  <c r="AK25" i="18"/>
  <c r="AA25" i="18"/>
  <c r="F25" i="18"/>
  <c r="AK22" i="18"/>
  <c r="AL22" i="18" s="1"/>
  <c r="O22" i="18"/>
  <c r="AA22" i="18" s="1"/>
  <c r="AL21" i="18"/>
  <c r="AK21" i="18"/>
  <c r="O21" i="18"/>
  <c r="AA21" i="18" s="1"/>
  <c r="AR21" i="18" s="1"/>
  <c r="AS21" i="18" s="1"/>
  <c r="AL20" i="18"/>
  <c r="AK20" i="18"/>
  <c r="O20" i="18"/>
  <c r="AA20" i="18" s="1"/>
  <c r="AL19" i="18"/>
  <c r="AK19" i="18"/>
  <c r="O19" i="18"/>
  <c r="AA19" i="18" s="1"/>
  <c r="AK18" i="18"/>
  <c r="AL18" i="18" s="1"/>
  <c r="O18" i="18"/>
  <c r="AA18" i="18" s="1"/>
  <c r="AL17" i="18"/>
  <c r="AK17" i="18"/>
  <c r="O17" i="18"/>
  <c r="AA17" i="18" s="1"/>
  <c r="AL16" i="18"/>
  <c r="AK16" i="18"/>
  <c r="O16" i="18"/>
  <c r="AA16" i="18" s="1"/>
  <c r="AK15" i="18"/>
  <c r="AL15" i="18" s="1"/>
  <c r="O15" i="18"/>
  <c r="AA15" i="18" s="1"/>
  <c r="AK14" i="18"/>
  <c r="AL14" i="18" s="1"/>
  <c r="O14" i="18"/>
  <c r="AA14" i="18" s="1"/>
  <c r="AL13" i="18"/>
  <c r="AK13" i="18"/>
  <c r="O13" i="18"/>
  <c r="AA13" i="18" s="1"/>
  <c r="AK12" i="18"/>
  <c r="AL12" i="18" s="1"/>
  <c r="O12" i="18"/>
  <c r="AA12" i="18" s="1"/>
  <c r="AL11" i="18"/>
  <c r="AK11" i="18"/>
  <c r="O11" i="18"/>
  <c r="AA11" i="18" s="1"/>
  <c r="AK10" i="18"/>
  <c r="AL10" i="18" s="1"/>
  <c r="O10" i="18"/>
  <c r="AA10" i="18" s="1"/>
  <c r="AK9" i="18"/>
  <c r="AL9" i="18" s="1"/>
  <c r="O9" i="18"/>
  <c r="AA9" i="18" s="1"/>
  <c r="AL8" i="18"/>
  <c r="AK8" i="18"/>
  <c r="O8" i="18"/>
  <c r="AA8" i="18" s="1"/>
  <c r="AK7" i="18"/>
  <c r="AL7" i="18" s="1"/>
  <c r="O7" i="18"/>
  <c r="AA7" i="18" s="1"/>
  <c r="AK6" i="18"/>
  <c r="O6" i="18"/>
  <c r="AA6" i="18" s="1"/>
  <c r="CX5" i="18"/>
  <c r="CD5" i="18"/>
  <c r="CC5" i="18"/>
  <c r="BR5" i="18"/>
  <c r="BQ5" i="18"/>
  <c r="BP5" i="18"/>
  <c r="AK5" i="18"/>
  <c r="AL5" i="18" s="1"/>
  <c r="O5" i="18"/>
  <c r="X5" i="18" s="1"/>
  <c r="O25" i="16"/>
  <c r="M51" i="16"/>
  <c r="J51" i="16"/>
  <c r="E51" i="16"/>
  <c r="AK50" i="16"/>
  <c r="O50" i="16"/>
  <c r="X50" i="16" s="1"/>
  <c r="F50" i="16"/>
  <c r="AK49" i="16"/>
  <c r="AL49" i="16" s="1"/>
  <c r="O49" i="16"/>
  <c r="AA49" i="16" s="1"/>
  <c r="F49" i="16"/>
  <c r="AK48" i="16"/>
  <c r="O48" i="16"/>
  <c r="X48" i="16" s="1"/>
  <c r="F48" i="16"/>
  <c r="AK47" i="16"/>
  <c r="AL47" i="16" s="1"/>
  <c r="O47" i="16"/>
  <c r="AA47" i="16" s="1"/>
  <c r="F47" i="16"/>
  <c r="AK46" i="16"/>
  <c r="O46" i="16"/>
  <c r="X46" i="16" s="1"/>
  <c r="F46" i="16"/>
  <c r="AK45" i="16"/>
  <c r="AL45" i="16" s="1"/>
  <c r="O45" i="16"/>
  <c r="AA45" i="16" s="1"/>
  <c r="F45" i="16"/>
  <c r="AK44" i="16"/>
  <c r="O44" i="16"/>
  <c r="X44" i="16" s="1"/>
  <c r="F44" i="16"/>
  <c r="AK43" i="16"/>
  <c r="AL43" i="16" s="1"/>
  <c r="O43" i="16"/>
  <c r="AA43" i="16" s="1"/>
  <c r="F43" i="16"/>
  <c r="AK42" i="16"/>
  <c r="O42" i="16"/>
  <c r="X42" i="16" s="1"/>
  <c r="F42" i="16"/>
  <c r="AK41" i="16"/>
  <c r="AL41" i="16" s="1"/>
  <c r="X41" i="16"/>
  <c r="O41" i="16"/>
  <c r="AA41" i="16" s="1"/>
  <c r="F41" i="16"/>
  <c r="AK40" i="16"/>
  <c r="O40" i="16"/>
  <c r="X40" i="16" s="1"/>
  <c r="F40" i="16"/>
  <c r="AK39" i="16"/>
  <c r="AL39" i="16" s="1"/>
  <c r="O39" i="16"/>
  <c r="AA39" i="16" s="1"/>
  <c r="F39" i="16"/>
  <c r="AK38" i="16"/>
  <c r="O38" i="16"/>
  <c r="X38" i="16" s="1"/>
  <c r="F38" i="16"/>
  <c r="AK37" i="16"/>
  <c r="AL37" i="16" s="1"/>
  <c r="O37" i="16"/>
  <c r="AA37" i="16" s="1"/>
  <c r="F37" i="16"/>
  <c r="AK36" i="16"/>
  <c r="O36" i="16"/>
  <c r="X36" i="16" s="1"/>
  <c r="F36" i="16"/>
  <c r="AK35" i="16"/>
  <c r="O35" i="16"/>
  <c r="AA35" i="16" s="1"/>
  <c r="F35" i="16"/>
  <c r="AK34" i="16"/>
  <c r="O34" i="16"/>
  <c r="X34" i="16" s="1"/>
  <c r="F34" i="16"/>
  <c r="AK33" i="16"/>
  <c r="AL33" i="16" s="1"/>
  <c r="O33" i="16"/>
  <c r="AA33" i="16" s="1"/>
  <c r="F33" i="16"/>
  <c r="AK32" i="16"/>
  <c r="O32" i="16"/>
  <c r="X32" i="16" s="1"/>
  <c r="F32" i="16"/>
  <c r="AK31" i="16"/>
  <c r="AL31" i="16" s="1"/>
  <c r="O31" i="16"/>
  <c r="AA31" i="16" s="1"/>
  <c r="F31" i="16"/>
  <c r="AK30" i="16"/>
  <c r="O30" i="16"/>
  <c r="F30" i="16"/>
  <c r="AK29" i="16"/>
  <c r="AL29" i="16" s="1"/>
  <c r="O29" i="16"/>
  <c r="AA29" i="16" s="1"/>
  <c r="F29" i="16"/>
  <c r="AK28" i="16"/>
  <c r="O28" i="16"/>
  <c r="X28" i="16" s="1"/>
  <c r="F28" i="16"/>
  <c r="AK27" i="16"/>
  <c r="O27" i="16"/>
  <c r="AA27" i="16" s="1"/>
  <c r="F27" i="16"/>
  <c r="AK26" i="16"/>
  <c r="O26" i="16"/>
  <c r="X26" i="16" s="1"/>
  <c r="F26" i="16"/>
  <c r="CX25" i="16"/>
  <c r="CD25" i="16"/>
  <c r="CC25" i="16"/>
  <c r="BR25" i="16"/>
  <c r="BQ25" i="16"/>
  <c r="BP25" i="16"/>
  <c r="AK25" i="16"/>
  <c r="AL25" i="16" s="1"/>
  <c r="F25" i="16"/>
  <c r="J24" i="16"/>
  <c r="M23" i="16"/>
  <c r="E23" i="16"/>
  <c r="AK22" i="16"/>
  <c r="O22" i="16"/>
  <c r="AA22" i="16" s="1"/>
  <c r="AK21" i="16"/>
  <c r="O21" i="16"/>
  <c r="AA21" i="16" s="1"/>
  <c r="AK20" i="16"/>
  <c r="O20" i="16"/>
  <c r="AA20" i="16" s="1"/>
  <c r="AK19" i="16"/>
  <c r="O19" i="16"/>
  <c r="AA19" i="16" s="1"/>
  <c r="AK18" i="16"/>
  <c r="O18" i="16"/>
  <c r="AA18" i="16" s="1"/>
  <c r="AK17" i="16"/>
  <c r="O17" i="16"/>
  <c r="AA17" i="16" s="1"/>
  <c r="AK16" i="16"/>
  <c r="O16" i="16"/>
  <c r="AA16" i="16" s="1"/>
  <c r="AK15" i="16"/>
  <c r="O15" i="16"/>
  <c r="AA15" i="16" s="1"/>
  <c r="AK14" i="16"/>
  <c r="O14" i="16"/>
  <c r="AA14" i="16" s="1"/>
  <c r="AK13" i="16"/>
  <c r="O13" i="16"/>
  <c r="AA13" i="16" s="1"/>
  <c r="AK12" i="16"/>
  <c r="O12" i="16"/>
  <c r="AA12" i="16" s="1"/>
  <c r="AK11" i="16"/>
  <c r="AL11" i="16" s="1"/>
  <c r="O11" i="16"/>
  <c r="AA11" i="16" s="1"/>
  <c r="AK10" i="16"/>
  <c r="AL10" i="16" s="1"/>
  <c r="O10" i="16"/>
  <c r="AA10" i="16" s="1"/>
  <c r="AK9" i="16"/>
  <c r="O9" i="16"/>
  <c r="AA9" i="16" s="1"/>
  <c r="AK8" i="16"/>
  <c r="O8" i="16"/>
  <c r="AA8" i="16" s="1"/>
  <c r="AK7" i="16"/>
  <c r="AL7" i="16" s="1"/>
  <c r="O7" i="16"/>
  <c r="AA7" i="16" s="1"/>
  <c r="AK6" i="16"/>
  <c r="AL6" i="16" s="1"/>
  <c r="O6" i="16"/>
  <c r="AA6" i="16" s="1"/>
  <c r="CX5" i="16"/>
  <c r="CD5" i="16"/>
  <c r="CC5" i="16"/>
  <c r="BR5" i="16"/>
  <c r="BQ5" i="16"/>
  <c r="BP5" i="16"/>
  <c r="AK5" i="16"/>
  <c r="O5" i="16"/>
  <c r="AA5" i="16" s="1"/>
  <c r="L50" i="2"/>
  <c r="L49" i="2"/>
  <c r="L48" i="2"/>
  <c r="L47" i="2"/>
  <c r="L46" i="2"/>
  <c r="L45" i="2"/>
  <c r="L44" i="2"/>
  <c r="L43" i="2"/>
  <c r="L42" i="2"/>
  <c r="L41" i="2"/>
  <c r="L40" i="2"/>
  <c r="L39" i="2"/>
  <c r="L38" i="2"/>
  <c r="L37" i="2"/>
  <c r="L36" i="2"/>
  <c r="L35" i="2"/>
  <c r="L34" i="2"/>
  <c r="L33" i="2"/>
  <c r="L32" i="2"/>
  <c r="L31" i="2"/>
  <c r="L30" i="2"/>
  <c r="L29" i="2"/>
  <c r="L28" i="2"/>
  <c r="L27" i="2"/>
  <c r="L51" i="2" s="1"/>
  <c r="L26" i="2"/>
  <c r="L25" i="2"/>
  <c r="L22" i="2"/>
  <c r="L21" i="2"/>
  <c r="L20" i="2"/>
  <c r="L19" i="2"/>
  <c r="L18" i="2"/>
  <c r="L17" i="2"/>
  <c r="L16" i="2"/>
  <c r="L15" i="2"/>
  <c r="L14" i="2"/>
  <c r="L13" i="2"/>
  <c r="L12" i="2"/>
  <c r="L11" i="2"/>
  <c r="L10" i="2"/>
  <c r="L9" i="2"/>
  <c r="L8" i="2"/>
  <c r="L7" i="2"/>
  <c r="L6" i="2"/>
  <c r="L5" i="2"/>
  <c r="AF51" i="2"/>
  <c r="K23" i="2"/>
  <c r="J23" i="2"/>
  <c r="K51" i="2"/>
  <c r="J51" i="2"/>
  <c r="E51" i="2"/>
  <c r="AF50" i="13"/>
  <c r="AF49" i="13"/>
  <c r="AF48" i="13"/>
  <c r="AF47" i="13"/>
  <c r="AF46" i="13"/>
  <c r="AF45" i="13"/>
  <c r="AF44" i="13"/>
  <c r="AF43" i="13"/>
  <c r="AG43" i="13" s="1"/>
  <c r="AF42" i="13"/>
  <c r="AF41" i="13"/>
  <c r="AF40" i="13"/>
  <c r="AF39" i="13"/>
  <c r="AF38" i="13"/>
  <c r="AF37" i="13"/>
  <c r="AF36" i="13"/>
  <c r="AF35" i="13"/>
  <c r="AF34" i="13"/>
  <c r="AF33" i="13"/>
  <c r="AF32" i="13"/>
  <c r="AF31" i="13"/>
  <c r="AF30" i="13"/>
  <c r="AF29" i="13"/>
  <c r="AF28" i="13"/>
  <c r="AF27" i="13"/>
  <c r="AF26" i="13"/>
  <c r="AF25" i="13"/>
  <c r="AF22" i="13"/>
  <c r="AF21" i="13"/>
  <c r="AF20" i="13"/>
  <c r="AF19" i="13"/>
  <c r="AF18" i="13"/>
  <c r="AF17" i="13"/>
  <c r="AF16" i="13"/>
  <c r="AF15" i="13"/>
  <c r="AF14" i="13"/>
  <c r="AF13" i="13"/>
  <c r="AF12" i="13"/>
  <c r="AF11" i="13"/>
  <c r="AF10" i="13"/>
  <c r="AF9" i="13"/>
  <c r="AF8" i="13"/>
  <c r="AF7" i="13"/>
  <c r="AF6" i="13"/>
  <c r="AF5" i="13"/>
  <c r="AG50" i="2"/>
  <c r="AG49" i="2"/>
  <c r="AG48" i="2"/>
  <c r="AG47" i="2"/>
  <c r="AG46" i="2"/>
  <c r="AG45" i="2"/>
  <c r="AG44" i="2"/>
  <c r="AG43" i="2"/>
  <c r="AG42" i="2"/>
  <c r="AG41" i="2"/>
  <c r="AG40" i="2"/>
  <c r="AG39" i="2"/>
  <c r="AG38" i="2"/>
  <c r="AG37" i="2"/>
  <c r="AG36" i="2"/>
  <c r="AG35" i="2"/>
  <c r="AG34" i="2"/>
  <c r="AG33" i="2"/>
  <c r="AG32" i="2"/>
  <c r="AG31" i="2"/>
  <c r="AG30" i="2"/>
  <c r="AG29" i="2"/>
  <c r="AG28" i="2"/>
  <c r="AG27" i="2"/>
  <c r="AG26" i="2"/>
  <c r="AG25" i="2"/>
  <c r="AG22" i="2"/>
  <c r="AG21" i="2"/>
  <c r="AG20" i="2"/>
  <c r="AG19" i="2"/>
  <c r="AG18" i="2"/>
  <c r="AG17" i="2"/>
  <c r="AG16" i="2"/>
  <c r="AG15" i="2"/>
  <c r="AG14" i="2"/>
  <c r="AG13" i="2"/>
  <c r="AG12" i="2"/>
  <c r="AG11" i="2"/>
  <c r="AG10" i="2"/>
  <c r="AG9" i="2"/>
  <c r="AG8" i="2"/>
  <c r="AG7" i="2"/>
  <c r="AG6" i="2"/>
  <c r="AG5" i="2"/>
  <c r="T50" i="13"/>
  <c r="Y50" i="13" s="1"/>
  <c r="S50" i="13"/>
  <c r="X50" i="13" s="1"/>
  <c r="R50" i="13"/>
  <c r="W50" i="13" s="1"/>
  <c r="Q50" i="13"/>
  <c r="V50" i="13" s="1"/>
  <c r="F50" i="13"/>
  <c r="T49" i="13"/>
  <c r="Y49" i="13" s="1"/>
  <c r="S49" i="13"/>
  <c r="X49" i="13" s="1"/>
  <c r="R49" i="13"/>
  <c r="W49" i="13" s="1"/>
  <c r="Q49" i="13"/>
  <c r="V49" i="13" s="1"/>
  <c r="F49" i="13"/>
  <c r="AA48" i="13"/>
  <c r="AH48" i="13" s="1"/>
  <c r="T48" i="13"/>
  <c r="Y48" i="13" s="1"/>
  <c r="S48" i="13"/>
  <c r="X48" i="13" s="1"/>
  <c r="R48" i="13"/>
  <c r="W48" i="13" s="1"/>
  <c r="Q48" i="13"/>
  <c r="V48" i="13" s="1"/>
  <c r="F48" i="13"/>
  <c r="T47" i="13"/>
  <c r="Y47" i="13" s="1"/>
  <c r="S47" i="13"/>
  <c r="X47" i="13" s="1"/>
  <c r="R47" i="13"/>
  <c r="W47" i="13" s="1"/>
  <c r="Q47" i="13"/>
  <c r="V47" i="13" s="1"/>
  <c r="F47" i="13"/>
  <c r="T46" i="13"/>
  <c r="Y46" i="13" s="1"/>
  <c r="S46" i="13"/>
  <c r="X46" i="13" s="1"/>
  <c r="R46" i="13"/>
  <c r="W46" i="13" s="1"/>
  <c r="Q46" i="13"/>
  <c r="V46" i="13" s="1"/>
  <c r="F46" i="13"/>
  <c r="T45" i="13"/>
  <c r="Y45" i="13" s="1"/>
  <c r="S45" i="13"/>
  <c r="X45" i="13" s="1"/>
  <c r="R45" i="13"/>
  <c r="W45" i="13" s="1"/>
  <c r="Q45" i="13"/>
  <c r="V45" i="13" s="1"/>
  <c r="F45" i="13"/>
  <c r="T44" i="13"/>
  <c r="Y44" i="13" s="1"/>
  <c r="S44" i="13"/>
  <c r="R44" i="13"/>
  <c r="W44" i="13" s="1"/>
  <c r="Q44" i="13"/>
  <c r="V44" i="13" s="1"/>
  <c r="AG44" i="13" s="1"/>
  <c r="F44" i="13"/>
  <c r="T43" i="13"/>
  <c r="Y43" i="13" s="1"/>
  <c r="S43" i="13"/>
  <c r="X43" i="13" s="1"/>
  <c r="R43" i="13"/>
  <c r="W43" i="13" s="1"/>
  <c r="Q43" i="13"/>
  <c r="V43" i="13" s="1"/>
  <c r="F43" i="13"/>
  <c r="T42" i="13"/>
  <c r="S42" i="13"/>
  <c r="X42" i="13" s="1"/>
  <c r="R42" i="13"/>
  <c r="W42" i="13" s="1"/>
  <c r="Q42" i="13"/>
  <c r="F42" i="13"/>
  <c r="T41" i="13"/>
  <c r="Y41" i="13" s="1"/>
  <c r="S41" i="13"/>
  <c r="R41" i="13"/>
  <c r="W41" i="13" s="1"/>
  <c r="Q41" i="13"/>
  <c r="V41" i="13" s="1"/>
  <c r="F41" i="13"/>
  <c r="T40" i="13"/>
  <c r="S40" i="13"/>
  <c r="X40" i="13" s="1"/>
  <c r="AC40" i="13" s="1"/>
  <c r="R40" i="13"/>
  <c r="Q40" i="13"/>
  <c r="V40" i="13" s="1"/>
  <c r="AG40" i="13" s="1"/>
  <c r="F40" i="13"/>
  <c r="T39" i="13"/>
  <c r="Y39" i="13" s="1"/>
  <c r="S39" i="13"/>
  <c r="X39" i="13" s="1"/>
  <c r="R39" i="13"/>
  <c r="Q39" i="13"/>
  <c r="V39" i="13" s="1"/>
  <c r="AG39" i="13" s="1"/>
  <c r="F39" i="13"/>
  <c r="T38" i="13"/>
  <c r="Y38" i="13" s="1"/>
  <c r="S38" i="13"/>
  <c r="X38" i="13" s="1"/>
  <c r="R38" i="13"/>
  <c r="W38" i="13" s="1"/>
  <c r="Q38" i="13"/>
  <c r="V38" i="13" s="1"/>
  <c r="AG38" i="13" s="1"/>
  <c r="F38" i="13"/>
  <c r="T37" i="13"/>
  <c r="Y37" i="13" s="1"/>
  <c r="S37" i="13"/>
  <c r="X37" i="13" s="1"/>
  <c r="R37" i="13"/>
  <c r="W37" i="13" s="1"/>
  <c r="Q37" i="13"/>
  <c r="V37" i="13" s="1"/>
  <c r="F37" i="13"/>
  <c r="T36" i="13"/>
  <c r="S36" i="13"/>
  <c r="X36" i="13" s="1"/>
  <c r="AC36" i="13" s="1"/>
  <c r="R36" i="13"/>
  <c r="W36" i="13" s="1"/>
  <c r="AB36" i="13" s="1"/>
  <c r="Q36" i="13"/>
  <c r="V36" i="13" s="1"/>
  <c r="AG36" i="13" s="1"/>
  <c r="F36" i="13"/>
  <c r="T35" i="13"/>
  <c r="Y35" i="13" s="1"/>
  <c r="S35" i="13"/>
  <c r="X35" i="13" s="1"/>
  <c r="R35" i="13"/>
  <c r="W35" i="13" s="1"/>
  <c r="AB35" i="13" s="1"/>
  <c r="Q35" i="13"/>
  <c r="V35" i="13" s="1"/>
  <c r="AG35" i="13" s="1"/>
  <c r="F35" i="13"/>
  <c r="T34" i="13"/>
  <c r="S34" i="13"/>
  <c r="X34" i="13" s="1"/>
  <c r="R34" i="13"/>
  <c r="Q34" i="13"/>
  <c r="V34" i="13" s="1"/>
  <c r="AG34" i="13" s="1"/>
  <c r="F34" i="13"/>
  <c r="T33" i="13"/>
  <c r="Y33" i="13" s="1"/>
  <c r="AD33" i="13" s="1"/>
  <c r="S33" i="13"/>
  <c r="X33" i="13" s="1"/>
  <c r="R33" i="13"/>
  <c r="Q33" i="13"/>
  <c r="F33" i="13"/>
  <c r="Y32" i="13"/>
  <c r="AD32" i="13" s="1"/>
  <c r="T32" i="13"/>
  <c r="S32" i="13"/>
  <c r="X32" i="13" s="1"/>
  <c r="R32" i="13"/>
  <c r="W32" i="13" s="1"/>
  <c r="Q32" i="13"/>
  <c r="F32" i="13"/>
  <c r="T31" i="13"/>
  <c r="S31" i="13"/>
  <c r="R31" i="13"/>
  <c r="W31" i="13" s="1"/>
  <c r="AB31" i="13" s="1"/>
  <c r="Q31" i="13"/>
  <c r="V31" i="13" s="1"/>
  <c r="F31" i="13"/>
  <c r="T30" i="13"/>
  <c r="Y30" i="13" s="1"/>
  <c r="S30" i="13"/>
  <c r="X30" i="13" s="1"/>
  <c r="AC30" i="13" s="1"/>
  <c r="R30" i="13"/>
  <c r="W30" i="13" s="1"/>
  <c r="AB30" i="13" s="1"/>
  <c r="Q30" i="13"/>
  <c r="F30" i="13"/>
  <c r="T29" i="13"/>
  <c r="Y29" i="13" s="1"/>
  <c r="AD29" i="13" s="1"/>
  <c r="S29" i="13"/>
  <c r="X29" i="13" s="1"/>
  <c r="R29" i="13"/>
  <c r="W29" i="13" s="1"/>
  <c r="Q29" i="13"/>
  <c r="V29" i="13" s="1"/>
  <c r="AA29" i="13" s="1"/>
  <c r="F29" i="13"/>
  <c r="T28" i="13"/>
  <c r="Y28" i="13" s="1"/>
  <c r="AD28" i="13" s="1"/>
  <c r="S28" i="13"/>
  <c r="X28" i="13" s="1"/>
  <c r="AC28" i="13" s="1"/>
  <c r="R28" i="13"/>
  <c r="W28" i="13" s="1"/>
  <c r="Q28" i="13"/>
  <c r="F28" i="13"/>
  <c r="T27" i="13"/>
  <c r="Y27" i="13" s="1"/>
  <c r="AD27" i="13" s="1"/>
  <c r="S27" i="13"/>
  <c r="X27" i="13" s="1"/>
  <c r="AC27" i="13" s="1"/>
  <c r="R27" i="13"/>
  <c r="Q27" i="13"/>
  <c r="V27" i="13" s="1"/>
  <c r="F27" i="13"/>
  <c r="AG26" i="13"/>
  <c r="T26" i="13"/>
  <c r="Y26" i="13" s="1"/>
  <c r="S26" i="13"/>
  <c r="R26" i="13"/>
  <c r="Q26" i="13"/>
  <c r="V26" i="13" s="1"/>
  <c r="F26" i="13"/>
  <c r="T25" i="13"/>
  <c r="Y25" i="13" s="1"/>
  <c r="S25" i="13"/>
  <c r="X25" i="13" s="1"/>
  <c r="R25" i="13"/>
  <c r="Q25" i="13"/>
  <c r="F25" i="13"/>
  <c r="AE23" i="13"/>
  <c r="E23" i="13"/>
  <c r="T22" i="13"/>
  <c r="Y22" i="13" s="1"/>
  <c r="S22" i="13"/>
  <c r="X22" i="13" s="1"/>
  <c r="R22" i="13"/>
  <c r="W22" i="13" s="1"/>
  <c r="Q22" i="13"/>
  <c r="V22" i="13" s="1"/>
  <c r="AG22" i="13" s="1"/>
  <c r="T21" i="13"/>
  <c r="Y21" i="13" s="1"/>
  <c r="AD21" i="13" s="1"/>
  <c r="S21" i="13"/>
  <c r="X21" i="13" s="1"/>
  <c r="AC21" i="13" s="1"/>
  <c r="R21" i="13"/>
  <c r="Q21" i="13"/>
  <c r="T20" i="13"/>
  <c r="Y20" i="13" s="1"/>
  <c r="S20" i="13"/>
  <c r="X20" i="13" s="1"/>
  <c r="AC20" i="13" s="1"/>
  <c r="R20" i="13"/>
  <c r="W20" i="13" s="1"/>
  <c r="AB20" i="13" s="1"/>
  <c r="Q20" i="13"/>
  <c r="V20" i="13" s="1"/>
  <c r="T19" i="13"/>
  <c r="S19" i="13"/>
  <c r="R19" i="13"/>
  <c r="W19" i="13" s="1"/>
  <c r="Q19" i="13"/>
  <c r="V19" i="13" s="1"/>
  <c r="T18" i="13"/>
  <c r="Y18" i="13" s="1"/>
  <c r="S18" i="13"/>
  <c r="R18" i="13"/>
  <c r="Q18" i="13"/>
  <c r="V18" i="13" s="1"/>
  <c r="T17" i="13"/>
  <c r="Y17" i="13" s="1"/>
  <c r="S17" i="13"/>
  <c r="X17" i="13" s="1"/>
  <c r="AC17" i="13" s="1"/>
  <c r="R17" i="13"/>
  <c r="W17" i="13" s="1"/>
  <c r="Q17" i="13"/>
  <c r="T16" i="13"/>
  <c r="Y16" i="13" s="1"/>
  <c r="S16" i="13"/>
  <c r="R16" i="13"/>
  <c r="W16" i="13" s="1"/>
  <c r="AB16" i="13" s="1"/>
  <c r="Q16" i="13"/>
  <c r="V16" i="13" s="1"/>
  <c r="T15" i="13"/>
  <c r="Y15" i="13" s="1"/>
  <c r="AD15" i="13" s="1"/>
  <c r="S15" i="13"/>
  <c r="R15" i="13"/>
  <c r="W15" i="13" s="1"/>
  <c r="Q15" i="13"/>
  <c r="V15" i="13" s="1"/>
  <c r="T14" i="13"/>
  <c r="Y14" i="13" s="1"/>
  <c r="S14" i="13"/>
  <c r="R14" i="13"/>
  <c r="Q14" i="13"/>
  <c r="V14" i="13" s="1"/>
  <c r="T13" i="13"/>
  <c r="Y13" i="13" s="1"/>
  <c r="S13" i="13"/>
  <c r="X13" i="13" s="1"/>
  <c r="R13" i="13"/>
  <c r="Q13" i="13"/>
  <c r="T12" i="13"/>
  <c r="Y12" i="13" s="1"/>
  <c r="S12" i="13"/>
  <c r="X12" i="13" s="1"/>
  <c r="R12" i="13"/>
  <c r="W12" i="13" s="1"/>
  <c r="Q12" i="13"/>
  <c r="V12" i="13" s="1"/>
  <c r="T11" i="13"/>
  <c r="S11" i="13"/>
  <c r="R11" i="13"/>
  <c r="W11" i="13" s="1"/>
  <c r="Q11" i="13"/>
  <c r="V11" i="13" s="1"/>
  <c r="AG11" i="13" s="1"/>
  <c r="T10" i="13"/>
  <c r="S10" i="13"/>
  <c r="R10" i="13"/>
  <c r="Q10" i="13"/>
  <c r="T9" i="13"/>
  <c r="Y9" i="13" s="1"/>
  <c r="S9" i="13"/>
  <c r="X9" i="13" s="1"/>
  <c r="R9" i="13"/>
  <c r="Q9" i="13"/>
  <c r="T8" i="13"/>
  <c r="S8" i="13"/>
  <c r="R8" i="13"/>
  <c r="W8" i="13" s="1"/>
  <c r="Q8" i="13"/>
  <c r="V8" i="13" s="1"/>
  <c r="AG8" i="13" s="1"/>
  <c r="T7" i="13"/>
  <c r="S7" i="13"/>
  <c r="R7" i="13"/>
  <c r="W7" i="13" s="1"/>
  <c r="Q7" i="13"/>
  <c r="V7" i="13" s="1"/>
  <c r="T6" i="13"/>
  <c r="S6" i="13"/>
  <c r="R6" i="13"/>
  <c r="Q6" i="13"/>
  <c r="T5" i="13"/>
  <c r="S5" i="13"/>
  <c r="R5" i="13"/>
  <c r="W5" i="13" s="1"/>
  <c r="Q5" i="13"/>
  <c r="V5" i="13" s="1"/>
  <c r="O5" i="5"/>
  <c r="AF23" i="2"/>
  <c r="T19" i="2"/>
  <c r="R5" i="2"/>
  <c r="BA51" i="10"/>
  <c r="BA50" i="10"/>
  <c r="BB50" i="10" s="1"/>
  <c r="BA49" i="10"/>
  <c r="BA48" i="10"/>
  <c r="BB48" i="10" s="1"/>
  <c r="BA47" i="10"/>
  <c r="BB47" i="10" s="1"/>
  <c r="BA46" i="10"/>
  <c r="BB46" i="10" s="1"/>
  <c r="BA45" i="10"/>
  <c r="BB45" i="10" s="1"/>
  <c r="BA44" i="10"/>
  <c r="BA43" i="10"/>
  <c r="BA42" i="10"/>
  <c r="BB42" i="10" s="1"/>
  <c r="BA41" i="10"/>
  <c r="BB41" i="10" s="1"/>
  <c r="BA40" i="10"/>
  <c r="BB40" i="10" s="1"/>
  <c r="BA39" i="10"/>
  <c r="BB39" i="10" s="1"/>
  <c r="BA38" i="10"/>
  <c r="BB38" i="10" s="1"/>
  <c r="BA37" i="10"/>
  <c r="BA35" i="10"/>
  <c r="BA34" i="10"/>
  <c r="BA33" i="10"/>
  <c r="BB33" i="10" s="1"/>
  <c r="BA32" i="10"/>
  <c r="BB32" i="10" s="1"/>
  <c r="BA31" i="10"/>
  <c r="BA30" i="10"/>
  <c r="BB30" i="10" s="1"/>
  <c r="BA29" i="10"/>
  <c r="BB29" i="10" s="1"/>
  <c r="BA28" i="10"/>
  <c r="BA27" i="10"/>
  <c r="BA26" i="10"/>
  <c r="BA25" i="10"/>
  <c r="BB25" i="10" s="1"/>
  <c r="BA22" i="10"/>
  <c r="BA21" i="10"/>
  <c r="BA20" i="10"/>
  <c r="BB20" i="10" s="1"/>
  <c r="BA19" i="10"/>
  <c r="BA18" i="10"/>
  <c r="BA17" i="10"/>
  <c r="BA16" i="10"/>
  <c r="BA15" i="10"/>
  <c r="BB15" i="10" s="1"/>
  <c r="BA14" i="10"/>
  <c r="BB14" i="10" s="1"/>
  <c r="BA13" i="10"/>
  <c r="BB13" i="10" s="1"/>
  <c r="BA12" i="10"/>
  <c r="BB12" i="10" s="1"/>
  <c r="BA11" i="10"/>
  <c r="BB11" i="10" s="1"/>
  <c r="BA10" i="10"/>
  <c r="BB10" i="10" s="1"/>
  <c r="BA9" i="10"/>
  <c r="BA8" i="10"/>
  <c r="BA7" i="10"/>
  <c r="BB7" i="10" s="1"/>
  <c r="BA6" i="10"/>
  <c r="BA5" i="10"/>
  <c r="BB5" i="10" s="1"/>
  <c r="AL50" i="9"/>
  <c r="AL49" i="9"/>
  <c r="AL48" i="9"/>
  <c r="AL47" i="9"/>
  <c r="AM47" i="9" s="1"/>
  <c r="AL46" i="9"/>
  <c r="AL45" i="9"/>
  <c r="AM45" i="9" s="1"/>
  <c r="AL44" i="9"/>
  <c r="AM44" i="9" s="1"/>
  <c r="AL43" i="9"/>
  <c r="AL42" i="9"/>
  <c r="AL41" i="9"/>
  <c r="AL40" i="9"/>
  <c r="AM40" i="9" s="1"/>
  <c r="AL39" i="9"/>
  <c r="AM39" i="9" s="1"/>
  <c r="AL38" i="9"/>
  <c r="AL37" i="9"/>
  <c r="AM37" i="9" s="1"/>
  <c r="AL36" i="9"/>
  <c r="AM36" i="9" s="1"/>
  <c r="AL35" i="9"/>
  <c r="AL34" i="9"/>
  <c r="AL33" i="9"/>
  <c r="AL32" i="9"/>
  <c r="AM32" i="9" s="1"/>
  <c r="AL31" i="9"/>
  <c r="AM31" i="9" s="1"/>
  <c r="AL30" i="9"/>
  <c r="AM30" i="9" s="1"/>
  <c r="AL29" i="9"/>
  <c r="AM29" i="9" s="1"/>
  <c r="AL28" i="9"/>
  <c r="AM28" i="9" s="1"/>
  <c r="AL27" i="9"/>
  <c r="AL26" i="9"/>
  <c r="AL25" i="9"/>
  <c r="AM25" i="9" s="1"/>
  <c r="AL22" i="9"/>
  <c r="AM22" i="9" s="1"/>
  <c r="AL21" i="9"/>
  <c r="AM21" i="9" s="1"/>
  <c r="AL20" i="9"/>
  <c r="AM20" i="9" s="1"/>
  <c r="AL19" i="9"/>
  <c r="AL18" i="9"/>
  <c r="AM18" i="9" s="1"/>
  <c r="AL17" i="9"/>
  <c r="AM17" i="9" s="1"/>
  <c r="AL16" i="9"/>
  <c r="AL15" i="9"/>
  <c r="AM15" i="9" s="1"/>
  <c r="AL14" i="9"/>
  <c r="AM14" i="9" s="1"/>
  <c r="AL13" i="9"/>
  <c r="AM13" i="9" s="1"/>
  <c r="AL12" i="9"/>
  <c r="AM12" i="9" s="1"/>
  <c r="AL11" i="9"/>
  <c r="AL10" i="9"/>
  <c r="AL9" i="9"/>
  <c r="AL8" i="9"/>
  <c r="AL7" i="9"/>
  <c r="AL6" i="9"/>
  <c r="AL5" i="9"/>
  <c r="K25" i="10"/>
  <c r="S5" i="10"/>
  <c r="AB5" i="10" s="1"/>
  <c r="K51" i="10"/>
  <c r="R51" i="10" s="1"/>
  <c r="AA51" i="10" s="1"/>
  <c r="K50" i="10"/>
  <c r="R50" i="10" s="1"/>
  <c r="AG50" i="10" s="1"/>
  <c r="BC50" i="10" s="1"/>
  <c r="BD50" i="10" s="1"/>
  <c r="K49" i="10"/>
  <c r="R49" i="10" s="1"/>
  <c r="K48" i="10"/>
  <c r="R48" i="10" s="1"/>
  <c r="AA48" i="10" s="1"/>
  <c r="K47" i="10"/>
  <c r="R47" i="10" s="1"/>
  <c r="AG47" i="10" s="1"/>
  <c r="K46" i="10"/>
  <c r="R46" i="10" s="1"/>
  <c r="AA46" i="10" s="1"/>
  <c r="K45" i="10"/>
  <c r="K44" i="10"/>
  <c r="R44" i="10" s="1"/>
  <c r="AG44" i="10" s="1"/>
  <c r="K43" i="10"/>
  <c r="K42" i="10"/>
  <c r="R43" i="10" s="1"/>
  <c r="AA43" i="10" s="1"/>
  <c r="K41" i="10"/>
  <c r="R40" i="10" s="1"/>
  <c r="AG40" i="10" s="1"/>
  <c r="BC40" i="10" s="1"/>
  <c r="BD40" i="10" s="1"/>
  <c r="BE40" i="10" s="1"/>
  <c r="K40" i="10"/>
  <c r="R39" i="10" s="1"/>
  <c r="AG39" i="10" s="1"/>
  <c r="BC39" i="10" s="1"/>
  <c r="BD39" i="10" s="1"/>
  <c r="K39" i="10"/>
  <c r="R38" i="10" s="1"/>
  <c r="AG38" i="10" s="1"/>
  <c r="K38" i="10"/>
  <c r="R37" i="10" s="1"/>
  <c r="AG37" i="10" s="1"/>
  <c r="K37" i="10"/>
  <c r="K36" i="10"/>
  <c r="R35" i="10" s="1"/>
  <c r="K35" i="10"/>
  <c r="R34" i="10" s="1"/>
  <c r="AA34" i="10" s="1"/>
  <c r="K34" i="10"/>
  <c r="K33" i="10"/>
  <c r="R32" i="10" s="1"/>
  <c r="AG32" i="10" s="1"/>
  <c r="BC32" i="10" s="1"/>
  <c r="BD32" i="10" s="1"/>
  <c r="K32" i="10"/>
  <c r="R31" i="10" s="1"/>
  <c r="AG31" i="10" s="1"/>
  <c r="K31" i="10"/>
  <c r="R30" i="10" s="1"/>
  <c r="AG30" i="10" s="1"/>
  <c r="K30" i="10"/>
  <c r="R29" i="10" s="1"/>
  <c r="AA29" i="10" s="1"/>
  <c r="K29" i="10"/>
  <c r="K28" i="10"/>
  <c r="R27" i="10" s="1"/>
  <c r="AA27" i="10" s="1"/>
  <c r="K27" i="10"/>
  <c r="R26" i="10" s="1"/>
  <c r="AG26" i="10" s="1"/>
  <c r="K26" i="10"/>
  <c r="K22" i="10"/>
  <c r="K21" i="10"/>
  <c r="R21" i="10" s="1"/>
  <c r="AG21" i="10" s="1"/>
  <c r="K20" i="10"/>
  <c r="R20" i="10" s="1"/>
  <c r="AG20" i="10" s="1"/>
  <c r="BC20" i="10" s="1"/>
  <c r="BD20" i="10" s="1"/>
  <c r="K19" i="10"/>
  <c r="R19" i="10" s="1"/>
  <c r="AA19" i="10" s="1"/>
  <c r="K18" i="10"/>
  <c r="K17" i="10"/>
  <c r="R17" i="10" s="1"/>
  <c r="AG17" i="10" s="1"/>
  <c r="K16" i="10"/>
  <c r="K15" i="10"/>
  <c r="R15" i="10" s="1"/>
  <c r="K14" i="10"/>
  <c r="R14" i="10" s="1"/>
  <c r="AG14" i="10" s="1"/>
  <c r="BC14" i="10" s="1"/>
  <c r="BD14" i="10" s="1"/>
  <c r="K13" i="10"/>
  <c r="R13" i="10" s="1"/>
  <c r="AG13" i="10" s="1"/>
  <c r="K12" i="10"/>
  <c r="R12" i="10" s="1"/>
  <c r="K11" i="10"/>
  <c r="R11" i="10" s="1"/>
  <c r="K10" i="10"/>
  <c r="K9" i="10"/>
  <c r="R9" i="10" s="1"/>
  <c r="AG9" i="10" s="1"/>
  <c r="K8" i="10"/>
  <c r="R8" i="10" s="1"/>
  <c r="AA8" i="10" s="1"/>
  <c r="K7" i="10"/>
  <c r="R7" i="10" s="1"/>
  <c r="AG7" i="10" s="1"/>
  <c r="BC7" i="10" s="1"/>
  <c r="BD7" i="10" s="1"/>
  <c r="K6" i="10"/>
  <c r="M51" i="10"/>
  <c r="T51" i="10" s="1"/>
  <c r="M50" i="10"/>
  <c r="T50" i="10" s="1"/>
  <c r="M49" i="10"/>
  <c r="T49" i="10" s="1"/>
  <c r="AI49" i="10" s="1"/>
  <c r="M48" i="10"/>
  <c r="M47" i="10"/>
  <c r="T47" i="10" s="1"/>
  <c r="AI47" i="10" s="1"/>
  <c r="M46" i="10"/>
  <c r="T46" i="10" s="1"/>
  <c r="M45" i="10"/>
  <c r="M44" i="10"/>
  <c r="T44" i="10" s="1"/>
  <c r="AC44" i="10" s="1"/>
  <c r="M43" i="10"/>
  <c r="T43" i="10" s="1"/>
  <c r="AI43" i="10" s="1"/>
  <c r="M42" i="10"/>
  <c r="T42" i="10" s="1"/>
  <c r="AC42" i="10" s="1"/>
  <c r="M41" i="10"/>
  <c r="T41" i="10" s="1"/>
  <c r="AC41" i="10" s="1"/>
  <c r="M40" i="10"/>
  <c r="M39" i="10"/>
  <c r="T39" i="10" s="1"/>
  <c r="AC39" i="10" s="1"/>
  <c r="M38" i="10"/>
  <c r="T38" i="10" s="1"/>
  <c r="AI38" i="10" s="1"/>
  <c r="M37" i="10"/>
  <c r="T37" i="10" s="1"/>
  <c r="AI37" i="10" s="1"/>
  <c r="M36" i="10"/>
  <c r="T36" i="10" s="1"/>
  <c r="AI36" i="10" s="1"/>
  <c r="M35" i="10"/>
  <c r="T35" i="10" s="1"/>
  <c r="AI35" i="10" s="1"/>
  <c r="M34" i="10"/>
  <c r="T34" i="10" s="1"/>
  <c r="AC34" i="10" s="1"/>
  <c r="M33" i="10"/>
  <c r="T33" i="10" s="1"/>
  <c r="AC33" i="10" s="1"/>
  <c r="M32" i="10"/>
  <c r="M31" i="10"/>
  <c r="T31" i="10" s="1"/>
  <c r="AI31" i="10" s="1"/>
  <c r="M30" i="10"/>
  <c r="M29" i="10"/>
  <c r="M28" i="10"/>
  <c r="T28" i="10" s="1"/>
  <c r="M27" i="10"/>
  <c r="T27" i="10" s="1"/>
  <c r="M26" i="10"/>
  <c r="T26" i="10" s="1"/>
  <c r="AI26" i="10" s="1"/>
  <c r="M25" i="10"/>
  <c r="T25" i="10" s="1"/>
  <c r="M22" i="10"/>
  <c r="M21" i="10"/>
  <c r="M20" i="10"/>
  <c r="T20" i="10" s="1"/>
  <c r="AC20" i="10" s="1"/>
  <c r="M19" i="10"/>
  <c r="T19" i="10" s="1"/>
  <c r="AI19" i="10" s="1"/>
  <c r="M18" i="10"/>
  <c r="T18" i="10" s="1"/>
  <c r="M17" i="10"/>
  <c r="T17" i="10" s="1"/>
  <c r="AI17" i="10" s="1"/>
  <c r="M16" i="10"/>
  <c r="T16" i="10" s="1"/>
  <c r="AI16" i="10" s="1"/>
  <c r="M15" i="10"/>
  <c r="T15" i="10" s="1"/>
  <c r="M14" i="10"/>
  <c r="M13" i="10"/>
  <c r="T13" i="10" s="1"/>
  <c r="AC13" i="10" s="1"/>
  <c r="M12" i="10"/>
  <c r="T12" i="10" s="1"/>
  <c r="AC12" i="10" s="1"/>
  <c r="M11" i="10"/>
  <c r="M10" i="10"/>
  <c r="T10" i="10" s="1"/>
  <c r="M9" i="10"/>
  <c r="T9" i="10" s="1"/>
  <c r="AI9" i="10" s="1"/>
  <c r="M8" i="10"/>
  <c r="T8" i="10" s="1"/>
  <c r="M7" i="10"/>
  <c r="T7" i="10" s="1"/>
  <c r="AC7" i="10" s="1"/>
  <c r="M6" i="10"/>
  <c r="P51" i="10"/>
  <c r="W51" i="10" s="1"/>
  <c r="P50" i="10"/>
  <c r="W50" i="10" s="1"/>
  <c r="AF50" i="10" s="1"/>
  <c r="P49" i="10"/>
  <c r="P48" i="10"/>
  <c r="W48" i="10" s="1"/>
  <c r="AF48" i="10" s="1"/>
  <c r="P47" i="10"/>
  <c r="W47" i="10" s="1"/>
  <c r="P46" i="10"/>
  <c r="W46" i="10" s="1"/>
  <c r="AF46" i="10" s="1"/>
  <c r="P45" i="10"/>
  <c r="W45" i="10" s="1"/>
  <c r="P44" i="10"/>
  <c r="P43" i="10"/>
  <c r="W43" i="10" s="1"/>
  <c r="P42" i="10"/>
  <c r="W42" i="10" s="1"/>
  <c r="AF42" i="10" s="1"/>
  <c r="P41" i="10"/>
  <c r="P40" i="10"/>
  <c r="W40" i="10" s="1"/>
  <c r="P39" i="10"/>
  <c r="W39" i="10" s="1"/>
  <c r="P38" i="10"/>
  <c r="W38" i="10" s="1"/>
  <c r="AF38" i="10" s="1"/>
  <c r="P37" i="10"/>
  <c r="W37" i="10" s="1"/>
  <c r="P36" i="10"/>
  <c r="P35" i="10"/>
  <c r="W35" i="10" s="1"/>
  <c r="P34" i="10"/>
  <c r="W34" i="10" s="1"/>
  <c r="AL34" i="10" s="1"/>
  <c r="P33" i="10"/>
  <c r="P32" i="10"/>
  <c r="P31" i="10"/>
  <c r="W31" i="10" s="1"/>
  <c r="P30" i="10"/>
  <c r="W30" i="10" s="1"/>
  <c r="P29" i="10"/>
  <c r="W29" i="10" s="1"/>
  <c r="AL29" i="10" s="1"/>
  <c r="P28" i="10"/>
  <c r="P27" i="10"/>
  <c r="W27" i="10" s="1"/>
  <c r="AL27" i="10" s="1"/>
  <c r="P26" i="10"/>
  <c r="W26" i="10" s="1"/>
  <c r="AF26" i="10" s="1"/>
  <c r="P25" i="10"/>
  <c r="P22" i="10"/>
  <c r="W22" i="10" s="1"/>
  <c r="AL22" i="10" s="1"/>
  <c r="P21" i="10"/>
  <c r="W21" i="10" s="1"/>
  <c r="AF21" i="10" s="1"/>
  <c r="P20" i="10"/>
  <c r="W20" i="10" s="1"/>
  <c r="AF20" i="10" s="1"/>
  <c r="P19" i="10"/>
  <c r="W19" i="10" s="1"/>
  <c r="P18" i="10"/>
  <c r="W18" i="10" s="1"/>
  <c r="AL18" i="10" s="1"/>
  <c r="P17" i="10"/>
  <c r="W17" i="10" s="1"/>
  <c r="P16" i="10"/>
  <c r="W16" i="10" s="1"/>
  <c r="P15" i="10"/>
  <c r="P14" i="10"/>
  <c r="W14" i="10" s="1"/>
  <c r="AL14" i="10" s="1"/>
  <c r="P13" i="10"/>
  <c r="W13" i="10" s="1"/>
  <c r="AF13" i="10" s="1"/>
  <c r="P12" i="10"/>
  <c r="W12" i="10" s="1"/>
  <c r="AF12" i="10" s="1"/>
  <c r="P11" i="10"/>
  <c r="W11" i="10" s="1"/>
  <c r="P10" i="10"/>
  <c r="W10" i="10" s="1"/>
  <c r="AF10" i="10" s="1"/>
  <c r="P9" i="10"/>
  <c r="W9" i="10" s="1"/>
  <c r="AF9" i="10" s="1"/>
  <c r="P8" i="10"/>
  <c r="W8" i="10" s="1"/>
  <c r="AF8" i="10" s="1"/>
  <c r="P7" i="10"/>
  <c r="P6" i="10"/>
  <c r="W6" i="10" s="1"/>
  <c r="O51" i="10"/>
  <c r="V51" i="10" s="1"/>
  <c r="O50" i="10"/>
  <c r="V50" i="10" s="1"/>
  <c r="AK50" i="10" s="1"/>
  <c r="BP50" i="10" s="1"/>
  <c r="BQ50" i="10" s="1"/>
  <c r="O49" i="10"/>
  <c r="V49" i="10" s="1"/>
  <c r="AE49" i="10" s="1"/>
  <c r="O48" i="10"/>
  <c r="O47" i="10"/>
  <c r="V47" i="10" s="1"/>
  <c r="AK47" i="10" s="1"/>
  <c r="O46" i="10"/>
  <c r="O45" i="10"/>
  <c r="V45" i="10" s="1"/>
  <c r="AK45" i="10" s="1"/>
  <c r="BP45" i="10" s="1"/>
  <c r="BQ45" i="10" s="1"/>
  <c r="O44" i="10"/>
  <c r="V44" i="10" s="1"/>
  <c r="AK44" i="10" s="1"/>
  <c r="O43" i="10"/>
  <c r="V43" i="10" s="1"/>
  <c r="O42" i="10"/>
  <c r="V42" i="10" s="1"/>
  <c r="AK42" i="10" s="1"/>
  <c r="BP42" i="10" s="1"/>
  <c r="BQ42" i="10" s="1"/>
  <c r="O41" i="10"/>
  <c r="V41" i="10" s="1"/>
  <c r="O40" i="10"/>
  <c r="O39" i="10"/>
  <c r="V39" i="10" s="1"/>
  <c r="AK39" i="10" s="1"/>
  <c r="BP39" i="10" s="1"/>
  <c r="BQ39" i="10" s="1"/>
  <c r="O38" i="10"/>
  <c r="V38" i="10" s="1"/>
  <c r="AE38" i="10" s="1"/>
  <c r="O37" i="10"/>
  <c r="V37" i="10" s="1"/>
  <c r="AK37" i="10" s="1"/>
  <c r="BP37" i="10" s="1"/>
  <c r="BQ37" i="10" s="1"/>
  <c r="O36" i="10"/>
  <c r="V36" i="10" s="1"/>
  <c r="AK36" i="10" s="1"/>
  <c r="O35" i="10"/>
  <c r="V35" i="10" s="1"/>
  <c r="AE35" i="10" s="1"/>
  <c r="O34" i="10"/>
  <c r="V34" i="10" s="1"/>
  <c r="O33" i="10"/>
  <c r="V33" i="10" s="1"/>
  <c r="AE33" i="10" s="1"/>
  <c r="O32" i="10"/>
  <c r="O31" i="10"/>
  <c r="V31" i="10" s="1"/>
  <c r="AK31" i="10" s="1"/>
  <c r="O30" i="10"/>
  <c r="V30" i="10" s="1"/>
  <c r="AE30" i="10" s="1"/>
  <c r="O29" i="10"/>
  <c r="V29" i="10" s="1"/>
  <c r="AK29" i="10" s="1"/>
  <c r="BP29" i="10" s="1"/>
  <c r="BQ29" i="10" s="1"/>
  <c r="O28" i="10"/>
  <c r="V28" i="10" s="1"/>
  <c r="AE28" i="10" s="1"/>
  <c r="O27" i="10"/>
  <c r="V27" i="10" s="1"/>
  <c r="O26" i="10"/>
  <c r="V26" i="10" s="1"/>
  <c r="AE26" i="10" s="1"/>
  <c r="O25" i="10"/>
  <c r="V25" i="10" s="1"/>
  <c r="AK25" i="10" s="1"/>
  <c r="O22" i="10"/>
  <c r="O21" i="10"/>
  <c r="V21" i="10" s="1"/>
  <c r="AK21" i="10" s="1"/>
  <c r="BP21" i="10" s="1"/>
  <c r="BQ21" i="10" s="1"/>
  <c r="O20" i="10"/>
  <c r="V20" i="10" s="1"/>
  <c r="O19" i="10"/>
  <c r="O18" i="10"/>
  <c r="V18" i="10" s="1"/>
  <c r="O17" i="10"/>
  <c r="V17" i="10" s="1"/>
  <c r="O16" i="10"/>
  <c r="V16" i="10" s="1"/>
  <c r="AK16" i="10" s="1"/>
  <c r="BP16" i="10" s="1"/>
  <c r="BQ16" i="10" s="1"/>
  <c r="O15" i="10"/>
  <c r="V15" i="10" s="1"/>
  <c r="AE15" i="10" s="1"/>
  <c r="O14" i="10"/>
  <c r="O13" i="10"/>
  <c r="V13" i="10" s="1"/>
  <c r="AK13" i="10" s="1"/>
  <c r="O12" i="10"/>
  <c r="V12" i="10" s="1"/>
  <c r="O11" i="10"/>
  <c r="O10" i="10"/>
  <c r="V10" i="10" s="1"/>
  <c r="AK10" i="10" s="1"/>
  <c r="BP10" i="10" s="1"/>
  <c r="BQ10" i="10" s="1"/>
  <c r="O9" i="10"/>
  <c r="V9" i="10" s="1"/>
  <c r="AE9" i="10" s="1"/>
  <c r="O8" i="10"/>
  <c r="V8" i="10" s="1"/>
  <c r="AK8" i="10" s="1"/>
  <c r="BP8" i="10" s="1"/>
  <c r="BQ8" i="10" s="1"/>
  <c r="O7" i="10"/>
  <c r="V7" i="10" s="1"/>
  <c r="AK7" i="10" s="1"/>
  <c r="BP7" i="10" s="1"/>
  <c r="BQ7" i="10" s="1"/>
  <c r="O6" i="10"/>
  <c r="N51" i="10"/>
  <c r="U51" i="10" s="1"/>
  <c r="N50" i="10"/>
  <c r="U50" i="10" s="1"/>
  <c r="N49" i="10"/>
  <c r="U49" i="10" s="1"/>
  <c r="N48" i="10"/>
  <c r="U48" i="10" s="1"/>
  <c r="AJ48" i="10" s="1"/>
  <c r="N47" i="10"/>
  <c r="U47" i="10" s="1"/>
  <c r="N46" i="10"/>
  <c r="U46" i="10" s="1"/>
  <c r="N45" i="10"/>
  <c r="U45" i="10" s="1"/>
  <c r="N44" i="10"/>
  <c r="N43" i="10"/>
  <c r="U43" i="10" s="1"/>
  <c r="N42" i="10"/>
  <c r="U42" i="10" s="1"/>
  <c r="N41" i="10"/>
  <c r="U41" i="10" s="1"/>
  <c r="N40" i="10"/>
  <c r="U40" i="10" s="1"/>
  <c r="N39" i="10"/>
  <c r="U39" i="10" s="1"/>
  <c r="N38" i="10"/>
  <c r="U38" i="10" s="1"/>
  <c r="N37" i="10"/>
  <c r="U37" i="10" s="1"/>
  <c r="N36" i="10"/>
  <c r="U36" i="10" s="1"/>
  <c r="N35" i="10"/>
  <c r="U35" i="10" s="1"/>
  <c r="N34" i="10"/>
  <c r="U34" i="10" s="1"/>
  <c r="N33" i="10"/>
  <c r="U33" i="10" s="1"/>
  <c r="N32" i="10"/>
  <c r="U32" i="10" s="1"/>
  <c r="N31" i="10"/>
  <c r="U31" i="10" s="1"/>
  <c r="N30" i="10"/>
  <c r="U30" i="10" s="1"/>
  <c r="AD30" i="10" s="1"/>
  <c r="N29" i="10"/>
  <c r="U29" i="10" s="1"/>
  <c r="AD29" i="10" s="1"/>
  <c r="N28" i="10"/>
  <c r="U28" i="10" s="1"/>
  <c r="AJ28" i="10" s="1"/>
  <c r="BF28" i="10" s="1"/>
  <c r="BG28" i="10" s="1"/>
  <c r="N27" i="10"/>
  <c r="U27" i="10" s="1"/>
  <c r="AD27" i="10" s="1"/>
  <c r="N26" i="10"/>
  <c r="N25" i="10"/>
  <c r="U25" i="10" s="1"/>
  <c r="N22" i="10"/>
  <c r="U22" i="10" s="1"/>
  <c r="N21" i="10"/>
  <c r="U21" i="10" s="1"/>
  <c r="AJ21" i="10" s="1"/>
  <c r="N20" i="10"/>
  <c r="U20" i="10" s="1"/>
  <c r="N19" i="10"/>
  <c r="U19" i="10" s="1"/>
  <c r="AD19" i="10" s="1"/>
  <c r="N18" i="10"/>
  <c r="N17" i="10"/>
  <c r="U17" i="10" s="1"/>
  <c r="AD17" i="10" s="1"/>
  <c r="N16" i="10"/>
  <c r="U16" i="10" s="1"/>
  <c r="AJ16" i="10" s="1"/>
  <c r="N15" i="10"/>
  <c r="U15" i="10" s="1"/>
  <c r="N14" i="10"/>
  <c r="U14" i="10" s="1"/>
  <c r="AD14" i="10" s="1"/>
  <c r="N13" i="10"/>
  <c r="U13" i="10" s="1"/>
  <c r="N12" i="10"/>
  <c r="U12" i="10" s="1"/>
  <c r="AJ12" i="10" s="1"/>
  <c r="N11" i="10"/>
  <c r="U11" i="10" s="1"/>
  <c r="AJ11" i="10" s="1"/>
  <c r="N10" i="10"/>
  <c r="N9" i="10"/>
  <c r="U9" i="10" s="1"/>
  <c r="AJ9" i="10" s="1"/>
  <c r="N8" i="10"/>
  <c r="U8" i="10" s="1"/>
  <c r="AJ8" i="10" s="1"/>
  <c r="BF8" i="10" s="1"/>
  <c r="BG8" i="10" s="1"/>
  <c r="N7" i="10"/>
  <c r="U7" i="10" s="1"/>
  <c r="AD7" i="10" s="1"/>
  <c r="N6" i="10"/>
  <c r="U6" i="10" s="1"/>
  <c r="AD6" i="10" s="1"/>
  <c r="P5" i="10"/>
  <c r="O5" i="10"/>
  <c r="V5" i="10" s="1"/>
  <c r="AT5" i="10" s="1"/>
  <c r="W5" i="10"/>
  <c r="N5" i="10"/>
  <c r="M5" i="10"/>
  <c r="T5" i="10" s="1"/>
  <c r="K5" i="10"/>
  <c r="R5" i="10" s="1"/>
  <c r="AA5" i="10" s="1"/>
  <c r="E52" i="10"/>
  <c r="S51" i="10"/>
  <c r="AB51" i="10" s="1"/>
  <c r="F51" i="10"/>
  <c r="S50" i="10"/>
  <c r="F50" i="10"/>
  <c r="W49" i="10"/>
  <c r="S49" i="10"/>
  <c r="AB49" i="10" s="1"/>
  <c r="F49" i="10"/>
  <c r="V48" i="10"/>
  <c r="AK48" i="10" s="1"/>
  <c r="BP48" i="10" s="1"/>
  <c r="BQ48" i="10" s="1"/>
  <c r="BR48" i="10" s="1"/>
  <c r="T48" i="10"/>
  <c r="AI48" i="10" s="1"/>
  <c r="S48" i="10"/>
  <c r="F48" i="10"/>
  <c r="S47" i="10"/>
  <c r="AB47" i="10" s="1"/>
  <c r="F47" i="10"/>
  <c r="V46" i="10"/>
  <c r="AK46" i="10" s="1"/>
  <c r="BP46" i="10" s="1"/>
  <c r="BQ46" i="10" s="1"/>
  <c r="S46" i="10"/>
  <c r="F46" i="10"/>
  <c r="T45" i="10"/>
  <c r="AI45" i="10" s="1"/>
  <c r="S45" i="10"/>
  <c r="AB45" i="10" s="1"/>
  <c r="R45" i="10"/>
  <c r="AG45" i="10" s="1"/>
  <c r="F45" i="10"/>
  <c r="W44" i="10"/>
  <c r="AF44" i="10" s="1"/>
  <c r="S44" i="10"/>
  <c r="U44" i="10"/>
  <c r="AJ44" i="10" s="1"/>
  <c r="F44" i="10"/>
  <c r="S43" i="10"/>
  <c r="AB43" i="10" s="1"/>
  <c r="F43" i="10"/>
  <c r="S42" i="10"/>
  <c r="R42" i="10"/>
  <c r="AA42" i="10" s="1"/>
  <c r="F42" i="10"/>
  <c r="W41" i="10"/>
  <c r="S41" i="10"/>
  <c r="AB41" i="10" s="1"/>
  <c r="F41" i="10"/>
  <c r="V40" i="10"/>
  <c r="AE40" i="10" s="1"/>
  <c r="T40" i="10"/>
  <c r="AC40" i="10" s="1"/>
  <c r="S40" i="10"/>
  <c r="F40" i="10"/>
  <c r="S39" i="10"/>
  <c r="AB39" i="10" s="1"/>
  <c r="F39" i="10"/>
  <c r="S38" i="10"/>
  <c r="F38" i="10"/>
  <c r="S37" i="10"/>
  <c r="AB37" i="10" s="1"/>
  <c r="F37" i="10"/>
  <c r="S36" i="10"/>
  <c r="AH36" i="10" s="1"/>
  <c r="R36" i="10"/>
  <c r="AG36" i="10" s="1"/>
  <c r="W36" i="10"/>
  <c r="F36" i="10"/>
  <c r="S35" i="10"/>
  <c r="AH35" i="10" s="1"/>
  <c r="F35" i="10"/>
  <c r="S34" i="10"/>
  <c r="AH34" i="10" s="1"/>
  <c r="F34" i="10"/>
  <c r="S33" i="10"/>
  <c r="AH33" i="10" s="1"/>
  <c r="BM33" i="10" s="1"/>
  <c r="BN33" i="10" s="1"/>
  <c r="R33" i="10"/>
  <c r="AG33" i="10" s="1"/>
  <c r="BC33" i="10" s="1"/>
  <c r="BD33" i="10" s="1"/>
  <c r="W33" i="10"/>
  <c r="AL33" i="10" s="1"/>
  <c r="F33" i="10"/>
  <c r="V32" i="10"/>
  <c r="AE32" i="10" s="1"/>
  <c r="T32" i="10"/>
  <c r="AC32" i="10" s="1"/>
  <c r="S32" i="10"/>
  <c r="AH32" i="10" s="1"/>
  <c r="W32" i="10"/>
  <c r="AL32" i="10" s="1"/>
  <c r="F32" i="10"/>
  <c r="S31" i="10"/>
  <c r="AH31" i="10" s="1"/>
  <c r="F31" i="10"/>
  <c r="T30" i="10"/>
  <c r="AC30" i="10" s="1"/>
  <c r="S30" i="10"/>
  <c r="AH30" i="10" s="1"/>
  <c r="F30" i="10"/>
  <c r="T29" i="10"/>
  <c r="S29" i="10"/>
  <c r="AH29" i="10" s="1"/>
  <c r="BM29" i="10" s="1"/>
  <c r="BN29" i="10" s="1"/>
  <c r="F29" i="10"/>
  <c r="S28" i="10"/>
  <c r="AH28" i="10" s="1"/>
  <c r="R28" i="10"/>
  <c r="AG28" i="10" s="1"/>
  <c r="W28" i="10"/>
  <c r="AF28" i="10" s="1"/>
  <c r="F28" i="10"/>
  <c r="S27" i="10"/>
  <c r="AB27" i="10" s="1"/>
  <c r="F27" i="10"/>
  <c r="S26" i="10"/>
  <c r="AH26" i="10" s="1"/>
  <c r="U26" i="10"/>
  <c r="F26" i="10"/>
  <c r="FM25" i="10"/>
  <c r="EA25" i="10"/>
  <c r="DZ25" i="10"/>
  <c r="DF25" i="10"/>
  <c r="DE25" i="10"/>
  <c r="DD25" i="10"/>
  <c r="W25" i="10"/>
  <c r="AU25" i="10" s="1"/>
  <c r="S25" i="10"/>
  <c r="AB25" i="10" s="1"/>
  <c r="R25" i="10"/>
  <c r="AG25" i="10" s="1"/>
  <c r="BC25" i="10" s="1"/>
  <c r="BD25" i="10" s="1"/>
  <c r="F25" i="10"/>
  <c r="E23" i="10"/>
  <c r="V22" i="10"/>
  <c r="AE22" i="10" s="1"/>
  <c r="T22" i="10"/>
  <c r="AC22" i="10" s="1"/>
  <c r="S22" i="10"/>
  <c r="AH22" i="10" s="1"/>
  <c r="BM22" i="10" s="1"/>
  <c r="BN22" i="10" s="1"/>
  <c r="R22" i="10"/>
  <c r="AG22" i="10" s="1"/>
  <c r="T21" i="10"/>
  <c r="AC21" i="10" s="1"/>
  <c r="S21" i="10"/>
  <c r="S20" i="10"/>
  <c r="AB20" i="10" s="1"/>
  <c r="V19" i="10"/>
  <c r="AK19" i="10" s="1"/>
  <c r="BP19" i="10" s="1"/>
  <c r="BQ19" i="10" s="1"/>
  <c r="S19" i="10"/>
  <c r="AH19" i="10" s="1"/>
  <c r="U18" i="10"/>
  <c r="AD18" i="10" s="1"/>
  <c r="S18" i="10"/>
  <c r="AH18" i="10" s="1"/>
  <c r="R18" i="10"/>
  <c r="S17" i="10"/>
  <c r="AB17" i="10" s="1"/>
  <c r="S16" i="10"/>
  <c r="AB16" i="10" s="1"/>
  <c r="R16" i="10"/>
  <c r="W15" i="10"/>
  <c r="AL15" i="10" s="1"/>
  <c r="S15" i="10"/>
  <c r="AB15" i="10" s="1"/>
  <c r="V14" i="10"/>
  <c r="AE14" i="10" s="1"/>
  <c r="T14" i="10"/>
  <c r="AI14" i="10" s="1"/>
  <c r="S14" i="10"/>
  <c r="S13" i="10"/>
  <c r="S12" i="10"/>
  <c r="AH12" i="10" s="1"/>
  <c r="V11" i="10"/>
  <c r="AE11" i="10" s="1"/>
  <c r="T11" i="10"/>
  <c r="AI11" i="10" s="1"/>
  <c r="S11" i="10"/>
  <c r="U10" i="10"/>
  <c r="AD10" i="10" s="1"/>
  <c r="S10" i="10"/>
  <c r="AB10" i="10" s="1"/>
  <c r="R10" i="10"/>
  <c r="AG10" i="10" s="1"/>
  <c r="S9" i="10"/>
  <c r="AH9" i="10" s="1"/>
  <c r="S8" i="10"/>
  <c r="AH8" i="10" s="1"/>
  <c r="W7" i="10"/>
  <c r="S7" i="10"/>
  <c r="AB7" i="10" s="1"/>
  <c r="V6" i="10"/>
  <c r="AK6" i="10" s="1"/>
  <c r="BP6" i="10" s="1"/>
  <c r="BQ6" i="10" s="1"/>
  <c r="T6" i="10"/>
  <c r="AI6" i="10" s="1"/>
  <c r="S6" i="10"/>
  <c r="AH6" i="10" s="1"/>
  <c r="R6" i="10"/>
  <c r="FM5" i="10"/>
  <c r="EA5" i="10"/>
  <c r="DZ5" i="10"/>
  <c r="DF5" i="10"/>
  <c r="DE5" i="10"/>
  <c r="DD5" i="10"/>
  <c r="U5" i="10"/>
  <c r="K50" i="9"/>
  <c r="O50" i="9" s="1"/>
  <c r="K49" i="9"/>
  <c r="O49" i="9" s="1"/>
  <c r="K48" i="9"/>
  <c r="O48" i="9" s="1"/>
  <c r="K47" i="9"/>
  <c r="O47" i="9" s="1"/>
  <c r="K46" i="9"/>
  <c r="O46" i="9" s="1"/>
  <c r="X46" i="9" s="1"/>
  <c r="K45" i="9"/>
  <c r="K44" i="9"/>
  <c r="O44" i="9" s="1"/>
  <c r="X44" i="9" s="1"/>
  <c r="K43" i="9"/>
  <c r="O43" i="9" s="1"/>
  <c r="K42" i="9"/>
  <c r="K41" i="9"/>
  <c r="O41" i="9" s="1"/>
  <c r="X41" i="9" s="1"/>
  <c r="K40" i="9"/>
  <c r="O40" i="9" s="1"/>
  <c r="AA40" i="9" s="1"/>
  <c r="K39" i="9"/>
  <c r="K38" i="9"/>
  <c r="O38" i="9" s="1"/>
  <c r="K37" i="9"/>
  <c r="O37" i="9" s="1"/>
  <c r="K36" i="9"/>
  <c r="K35" i="9"/>
  <c r="K34" i="9"/>
  <c r="O34" i="9" s="1"/>
  <c r="X34" i="9" s="1"/>
  <c r="K33" i="9"/>
  <c r="O33" i="9" s="1"/>
  <c r="K32" i="9"/>
  <c r="O32" i="9" s="1"/>
  <c r="X32" i="9" s="1"/>
  <c r="K31" i="9"/>
  <c r="O31" i="9" s="1"/>
  <c r="X31" i="9" s="1"/>
  <c r="K30" i="9"/>
  <c r="K29" i="9"/>
  <c r="O29" i="9" s="1"/>
  <c r="K28" i="9"/>
  <c r="K27" i="9"/>
  <c r="K26" i="9"/>
  <c r="O26" i="9" s="1"/>
  <c r="AA26" i="9" s="1"/>
  <c r="K25" i="9"/>
  <c r="O25" i="9" s="1"/>
  <c r="X25" i="9" s="1"/>
  <c r="K22" i="9"/>
  <c r="O22" i="9" s="1"/>
  <c r="X22" i="9" s="1"/>
  <c r="K21" i="9"/>
  <c r="O21" i="9" s="1"/>
  <c r="K20" i="9"/>
  <c r="K19" i="9"/>
  <c r="O19" i="9" s="1"/>
  <c r="AA19" i="9" s="1"/>
  <c r="K18" i="9"/>
  <c r="K17" i="9"/>
  <c r="O17" i="9" s="1"/>
  <c r="K16" i="9"/>
  <c r="O16" i="9" s="1"/>
  <c r="K15" i="9"/>
  <c r="O15" i="9" s="1"/>
  <c r="AA15" i="9" s="1"/>
  <c r="AN15" i="9" s="1"/>
  <c r="AO15" i="9" s="1"/>
  <c r="K14" i="9"/>
  <c r="O14" i="9" s="1"/>
  <c r="X14" i="9" s="1"/>
  <c r="K13" i="9"/>
  <c r="O13" i="9" s="1"/>
  <c r="K12" i="9"/>
  <c r="K11" i="9"/>
  <c r="O11" i="9" s="1"/>
  <c r="X11" i="9" s="1"/>
  <c r="K10" i="9"/>
  <c r="K9" i="9"/>
  <c r="K8" i="9"/>
  <c r="O8" i="9" s="1"/>
  <c r="X8" i="9" s="1"/>
  <c r="K7" i="9"/>
  <c r="O7" i="9" s="1"/>
  <c r="X7" i="9" s="1"/>
  <c r="K6" i="9"/>
  <c r="O6" i="9" s="1"/>
  <c r="AA6" i="9" s="1"/>
  <c r="K5" i="9"/>
  <c r="O5" i="9" s="1"/>
  <c r="K22" i="8"/>
  <c r="O22" i="8" s="1"/>
  <c r="K21" i="8"/>
  <c r="O21" i="8" s="1"/>
  <c r="K20" i="8"/>
  <c r="K19" i="8"/>
  <c r="O19" i="8" s="1"/>
  <c r="K18" i="8"/>
  <c r="O18" i="8" s="1"/>
  <c r="X18" i="8" s="1"/>
  <c r="K17" i="8"/>
  <c r="O17" i="8" s="1"/>
  <c r="AA17" i="8" s="1"/>
  <c r="K16" i="8"/>
  <c r="O16" i="8" s="1"/>
  <c r="K15" i="8"/>
  <c r="O15" i="8" s="1"/>
  <c r="K14" i="8"/>
  <c r="O14" i="8" s="1"/>
  <c r="K13" i="8"/>
  <c r="O13" i="8" s="1"/>
  <c r="K12" i="8"/>
  <c r="K11" i="8"/>
  <c r="K10" i="8"/>
  <c r="O10" i="8" s="1"/>
  <c r="X10" i="8" s="1"/>
  <c r="K9" i="8"/>
  <c r="O9" i="8" s="1"/>
  <c r="K8" i="8"/>
  <c r="O8" i="8" s="1"/>
  <c r="K7" i="8"/>
  <c r="O7" i="8" s="1"/>
  <c r="AA7" i="8" s="1"/>
  <c r="K6" i="8"/>
  <c r="O6" i="8" s="1"/>
  <c r="O5" i="8"/>
  <c r="L50" i="9"/>
  <c r="L49" i="9"/>
  <c r="L48" i="9"/>
  <c r="P48" i="9" s="1"/>
  <c r="AB48" i="9" s="1"/>
  <c r="L47" i="9"/>
  <c r="P47" i="9" s="1"/>
  <c r="Y47" i="9" s="1"/>
  <c r="L46" i="9"/>
  <c r="P46" i="9" s="1"/>
  <c r="AB46" i="9" s="1"/>
  <c r="L45" i="9"/>
  <c r="P45" i="9" s="1"/>
  <c r="L44" i="9"/>
  <c r="L43" i="9"/>
  <c r="P43" i="9" s="1"/>
  <c r="L42" i="9"/>
  <c r="M50" i="9"/>
  <c r="Q50" i="9" s="1"/>
  <c r="M49" i="9"/>
  <c r="Q49" i="9" s="1"/>
  <c r="M48" i="9"/>
  <c r="Q48" i="9" s="1"/>
  <c r="M47" i="9"/>
  <c r="Q47" i="9" s="1"/>
  <c r="Z47" i="9" s="1"/>
  <c r="M46" i="9"/>
  <c r="M45" i="9"/>
  <c r="M44" i="9"/>
  <c r="Q44" i="9" s="1"/>
  <c r="Z44" i="9" s="1"/>
  <c r="M43" i="9"/>
  <c r="Q43" i="9" s="1"/>
  <c r="M42" i="9"/>
  <c r="Q42" i="9" s="1"/>
  <c r="AC42" i="9" s="1"/>
  <c r="M41" i="9"/>
  <c r="Q41" i="9" s="1"/>
  <c r="AC41" i="9" s="1"/>
  <c r="M40" i="9"/>
  <c r="Q40" i="9" s="1"/>
  <c r="M39" i="9"/>
  <c r="Q39" i="9" s="1"/>
  <c r="M38" i="9"/>
  <c r="Q38" i="9" s="1"/>
  <c r="AC38" i="9" s="1"/>
  <c r="M37" i="9"/>
  <c r="M36" i="9"/>
  <c r="Q36" i="9" s="1"/>
  <c r="AC36" i="9" s="1"/>
  <c r="M35" i="9"/>
  <c r="M34" i="9"/>
  <c r="Q34" i="9" s="1"/>
  <c r="M33" i="9"/>
  <c r="Q33" i="9" s="1"/>
  <c r="M32" i="9"/>
  <c r="Q32" i="9" s="1"/>
  <c r="Z32" i="9" s="1"/>
  <c r="M31" i="9"/>
  <c r="Q31" i="9" s="1"/>
  <c r="AC31" i="9" s="1"/>
  <c r="M30" i="9"/>
  <c r="M29" i="9"/>
  <c r="M28" i="9"/>
  <c r="Q28" i="9" s="1"/>
  <c r="M27" i="9"/>
  <c r="M26" i="9"/>
  <c r="Q26" i="9" s="1"/>
  <c r="M25" i="9"/>
  <c r="Q25" i="9" s="1"/>
  <c r="M22" i="9"/>
  <c r="Q22" i="9" s="1"/>
  <c r="Z22" i="9" s="1"/>
  <c r="M21" i="9"/>
  <c r="Q21" i="9" s="1"/>
  <c r="M20" i="9"/>
  <c r="Q20" i="9" s="1"/>
  <c r="AC20" i="9" s="1"/>
  <c r="M19" i="9"/>
  <c r="M18" i="9"/>
  <c r="Q18" i="9" s="1"/>
  <c r="AC18" i="9" s="1"/>
  <c r="M17" i="9"/>
  <c r="M16" i="9"/>
  <c r="Q16" i="9" s="1"/>
  <c r="AC16" i="9" s="1"/>
  <c r="M15" i="9"/>
  <c r="Q15" i="9" s="1"/>
  <c r="M14" i="9"/>
  <c r="Q14" i="9" s="1"/>
  <c r="Z14" i="9" s="1"/>
  <c r="M13" i="9"/>
  <c r="Q13" i="9" s="1"/>
  <c r="M12" i="9"/>
  <c r="M11" i="9"/>
  <c r="M10" i="9"/>
  <c r="Q10" i="9" s="1"/>
  <c r="AC10" i="9" s="1"/>
  <c r="M9" i="9"/>
  <c r="M8" i="9"/>
  <c r="Q8" i="9" s="1"/>
  <c r="AC8" i="9" s="1"/>
  <c r="M7" i="9"/>
  <c r="Q7" i="9" s="1"/>
  <c r="AC7" i="9" s="1"/>
  <c r="M6" i="9"/>
  <c r="Q6" i="9" s="1"/>
  <c r="AC6" i="9" s="1"/>
  <c r="M5" i="9"/>
  <c r="Q5" i="9" s="1"/>
  <c r="L5" i="9"/>
  <c r="P5" i="9" s="1"/>
  <c r="K50" i="8"/>
  <c r="O50" i="8" s="1"/>
  <c r="AA50" i="8" s="1"/>
  <c r="K49" i="8"/>
  <c r="O49" i="8" s="1"/>
  <c r="K48" i="8"/>
  <c r="O48" i="8" s="1"/>
  <c r="AA48" i="8" s="1"/>
  <c r="K47" i="8"/>
  <c r="O47" i="8" s="1"/>
  <c r="AA47" i="8" s="1"/>
  <c r="K46" i="8"/>
  <c r="O46" i="8" s="1"/>
  <c r="AA46" i="8" s="1"/>
  <c r="K45" i="8"/>
  <c r="O45" i="8" s="1"/>
  <c r="AA45" i="8" s="1"/>
  <c r="K44" i="8"/>
  <c r="O44" i="8" s="1"/>
  <c r="AA44" i="8" s="1"/>
  <c r="K43" i="8"/>
  <c r="O43" i="8" s="1"/>
  <c r="K42" i="8"/>
  <c r="O42" i="8" s="1"/>
  <c r="X42" i="8" s="1"/>
  <c r="K41" i="8"/>
  <c r="K40" i="8"/>
  <c r="O40" i="8" s="1"/>
  <c r="AA40" i="8" s="1"/>
  <c r="K39" i="8"/>
  <c r="O39" i="8" s="1"/>
  <c r="AA39" i="8" s="1"/>
  <c r="K38" i="8"/>
  <c r="O38" i="8" s="1"/>
  <c r="X38" i="8" s="1"/>
  <c r="K37" i="8"/>
  <c r="K36" i="8"/>
  <c r="O36" i="8" s="1"/>
  <c r="AA36" i="8" s="1"/>
  <c r="K35" i="8"/>
  <c r="O35" i="8" s="1"/>
  <c r="X35" i="8" s="1"/>
  <c r="K34" i="8"/>
  <c r="O34" i="8" s="1"/>
  <c r="AA34" i="8" s="1"/>
  <c r="K33" i="8"/>
  <c r="O33" i="8" s="1"/>
  <c r="AA33" i="8" s="1"/>
  <c r="K32" i="8"/>
  <c r="O32" i="8" s="1"/>
  <c r="AA32" i="8" s="1"/>
  <c r="K31" i="8"/>
  <c r="O31" i="8" s="1"/>
  <c r="AA31" i="8" s="1"/>
  <c r="K30" i="8"/>
  <c r="O30" i="8" s="1"/>
  <c r="X30" i="8" s="1"/>
  <c r="K29" i="8"/>
  <c r="O29" i="8" s="1"/>
  <c r="AA29" i="8" s="1"/>
  <c r="K28" i="8"/>
  <c r="O28" i="8" s="1"/>
  <c r="K27" i="8"/>
  <c r="K26" i="8"/>
  <c r="O26" i="8" s="1"/>
  <c r="K25" i="8"/>
  <c r="O25" i="8" s="1"/>
  <c r="AA25" i="8" s="1"/>
  <c r="M5" i="8"/>
  <c r="Q5" i="8" s="1"/>
  <c r="L50" i="8"/>
  <c r="P50" i="8" s="1"/>
  <c r="AB50" i="8" s="1"/>
  <c r="L49" i="8"/>
  <c r="P49" i="8" s="1"/>
  <c r="L48" i="8"/>
  <c r="P48" i="8" s="1"/>
  <c r="Y48" i="8" s="1"/>
  <c r="L47" i="8"/>
  <c r="P47" i="8" s="1"/>
  <c r="AB47" i="8" s="1"/>
  <c r="L46" i="8"/>
  <c r="P46" i="8" s="1"/>
  <c r="Y46" i="8" s="1"/>
  <c r="L45" i="8"/>
  <c r="P45" i="8" s="1"/>
  <c r="Y45" i="8" s="1"/>
  <c r="L44" i="8"/>
  <c r="P44" i="8" s="1"/>
  <c r="AB44" i="8" s="1"/>
  <c r="L43" i="8"/>
  <c r="P43" i="8" s="1"/>
  <c r="L42" i="8"/>
  <c r="L41" i="8"/>
  <c r="P41" i="8" s="1"/>
  <c r="Y41" i="8" s="1"/>
  <c r="L40" i="8"/>
  <c r="P40" i="8" s="1"/>
  <c r="AB40" i="8" s="1"/>
  <c r="L39" i="8"/>
  <c r="P39" i="8" s="1"/>
  <c r="AB39" i="8" s="1"/>
  <c r="L38" i="8"/>
  <c r="P38" i="8" s="1"/>
  <c r="Y38" i="8" s="1"/>
  <c r="L37" i="8"/>
  <c r="P37" i="8" s="1"/>
  <c r="Y37" i="8" s="1"/>
  <c r="L36" i="8"/>
  <c r="P36" i="8" s="1"/>
  <c r="Y36" i="8" s="1"/>
  <c r="L35" i="8"/>
  <c r="P35" i="8" s="1"/>
  <c r="AB35" i="8" s="1"/>
  <c r="L34" i="8"/>
  <c r="P34" i="8" s="1"/>
  <c r="Y34" i="8" s="1"/>
  <c r="L33" i="8"/>
  <c r="P33" i="8" s="1"/>
  <c r="AB33" i="8" s="1"/>
  <c r="L32" i="8"/>
  <c r="P32" i="8" s="1"/>
  <c r="AB32" i="8" s="1"/>
  <c r="L31" i="8"/>
  <c r="P31" i="8" s="1"/>
  <c r="Y31" i="8" s="1"/>
  <c r="L30" i="8"/>
  <c r="P30" i="8" s="1"/>
  <c r="Y30" i="8" s="1"/>
  <c r="L29" i="8"/>
  <c r="P29" i="8" s="1"/>
  <c r="AB29" i="8" s="1"/>
  <c r="L28" i="8"/>
  <c r="P28" i="8" s="1"/>
  <c r="Y28" i="8" s="1"/>
  <c r="L27" i="8"/>
  <c r="L26" i="8"/>
  <c r="P26" i="8" s="1"/>
  <c r="L25" i="8"/>
  <c r="P25" i="8" s="1"/>
  <c r="L22" i="8"/>
  <c r="L21" i="8"/>
  <c r="P21" i="8" s="1"/>
  <c r="AB21" i="8" s="1"/>
  <c r="L20" i="8"/>
  <c r="P20" i="8" s="1"/>
  <c r="Y20" i="8" s="1"/>
  <c r="L19" i="8"/>
  <c r="P19" i="8" s="1"/>
  <c r="Y19" i="8" s="1"/>
  <c r="L18" i="8"/>
  <c r="P18" i="8" s="1"/>
  <c r="AB18" i="8" s="1"/>
  <c r="L17" i="8"/>
  <c r="P17" i="8" s="1"/>
  <c r="L16" i="8"/>
  <c r="P16" i="8" s="1"/>
  <c r="L15" i="8"/>
  <c r="P15" i="8" s="1"/>
  <c r="L14" i="8"/>
  <c r="L13" i="8"/>
  <c r="P13" i="8" s="1"/>
  <c r="AB13" i="8" s="1"/>
  <c r="L12" i="8"/>
  <c r="P12" i="8" s="1"/>
  <c r="L11" i="8"/>
  <c r="P11" i="8" s="1"/>
  <c r="Y11" i="8" s="1"/>
  <c r="L10" i="8"/>
  <c r="P10" i="8" s="1"/>
  <c r="Y10" i="8" s="1"/>
  <c r="L9" i="8"/>
  <c r="P9" i="8" s="1"/>
  <c r="L8" i="8"/>
  <c r="P8" i="8" s="1"/>
  <c r="AB8" i="8" s="1"/>
  <c r="L7" i="8"/>
  <c r="P7" i="8" s="1"/>
  <c r="L6" i="8"/>
  <c r="L5" i="8"/>
  <c r="P5" i="8" s="1"/>
  <c r="L6" i="9"/>
  <c r="P6" i="9" s="1"/>
  <c r="P50" i="9"/>
  <c r="Y50" i="9" s="1"/>
  <c r="F50" i="9"/>
  <c r="P49" i="9"/>
  <c r="Y49" i="9" s="1"/>
  <c r="F49" i="9"/>
  <c r="F48" i="9"/>
  <c r="F47" i="9"/>
  <c r="Q46" i="9"/>
  <c r="AC46" i="9" s="1"/>
  <c r="F46" i="9"/>
  <c r="Q45" i="9"/>
  <c r="O45" i="9"/>
  <c r="X45" i="9" s="1"/>
  <c r="F45" i="9"/>
  <c r="P44" i="9"/>
  <c r="Y44" i="9" s="1"/>
  <c r="F44" i="9"/>
  <c r="F43" i="9"/>
  <c r="P42" i="9"/>
  <c r="Y42" i="9" s="1"/>
  <c r="O42" i="9"/>
  <c r="F42" i="9"/>
  <c r="L41" i="9"/>
  <c r="P41" i="9" s="1"/>
  <c r="Y41" i="9" s="1"/>
  <c r="F41" i="9"/>
  <c r="L40" i="9"/>
  <c r="P40" i="9" s="1"/>
  <c r="F40" i="9"/>
  <c r="O39" i="9"/>
  <c r="L39" i="9"/>
  <c r="P39" i="9" s="1"/>
  <c r="F39" i="9"/>
  <c r="L38" i="9"/>
  <c r="P38" i="9" s="1"/>
  <c r="F38" i="9"/>
  <c r="Q37" i="9"/>
  <c r="L37" i="9"/>
  <c r="P37" i="9" s="1"/>
  <c r="F37" i="9"/>
  <c r="O36" i="9"/>
  <c r="L36" i="9"/>
  <c r="P36" i="9" s="1"/>
  <c r="F36" i="9"/>
  <c r="Q35" i="9"/>
  <c r="Z35" i="9" s="1"/>
  <c r="L35" i="9"/>
  <c r="P35" i="9" s="1"/>
  <c r="O35" i="9"/>
  <c r="F35" i="9"/>
  <c r="L34" i="9"/>
  <c r="P34" i="9" s="1"/>
  <c r="AB34" i="9" s="1"/>
  <c r="F34" i="9"/>
  <c r="L33" i="9"/>
  <c r="P33" i="9" s="1"/>
  <c r="AB33" i="9" s="1"/>
  <c r="F33" i="9"/>
  <c r="L32" i="9"/>
  <c r="P32" i="9" s="1"/>
  <c r="F32" i="9"/>
  <c r="L31" i="9"/>
  <c r="P31" i="9" s="1"/>
  <c r="F31" i="9"/>
  <c r="Q30" i="9"/>
  <c r="Z30" i="9" s="1"/>
  <c r="O30" i="9"/>
  <c r="AA30" i="9" s="1"/>
  <c r="L30" i="9"/>
  <c r="P30" i="9" s="1"/>
  <c r="F30" i="9"/>
  <c r="Q29" i="9"/>
  <c r="Z29" i="9" s="1"/>
  <c r="L29" i="9"/>
  <c r="P29" i="9" s="1"/>
  <c r="Y29" i="9" s="1"/>
  <c r="F29" i="9"/>
  <c r="O28" i="9"/>
  <c r="L28" i="9"/>
  <c r="P28" i="9" s="1"/>
  <c r="F28" i="9"/>
  <c r="Q27" i="9"/>
  <c r="Z27" i="9" s="1"/>
  <c r="L27" i="9"/>
  <c r="P27" i="9" s="1"/>
  <c r="Y27" i="9" s="1"/>
  <c r="O27" i="9"/>
  <c r="F27" i="9"/>
  <c r="L26" i="9"/>
  <c r="P26" i="9" s="1"/>
  <c r="Y26" i="9" s="1"/>
  <c r="F26" i="9"/>
  <c r="CY25" i="9"/>
  <c r="CE25" i="9"/>
  <c r="CD25" i="9"/>
  <c r="BS25" i="9"/>
  <c r="BR25" i="9"/>
  <c r="BQ25" i="9"/>
  <c r="L25" i="9"/>
  <c r="P25" i="9" s="1"/>
  <c r="F25" i="9"/>
  <c r="L22" i="9"/>
  <c r="P22" i="9" s="1"/>
  <c r="AB22" i="9" s="1"/>
  <c r="AS22" i="9" s="1"/>
  <c r="AT22" i="9" s="1"/>
  <c r="L21" i="9"/>
  <c r="P21" i="9" s="1"/>
  <c r="O20" i="9"/>
  <c r="L20" i="9"/>
  <c r="P20" i="9" s="1"/>
  <c r="AB20" i="9" s="1"/>
  <c r="AS20" i="9" s="1"/>
  <c r="AT20" i="9" s="1"/>
  <c r="Q19" i="9"/>
  <c r="AC19" i="9" s="1"/>
  <c r="L19" i="9"/>
  <c r="P19" i="9" s="1"/>
  <c r="Y19" i="9" s="1"/>
  <c r="L18" i="9"/>
  <c r="P18" i="9" s="1"/>
  <c r="AB18" i="9" s="1"/>
  <c r="O18" i="9"/>
  <c r="Q17" i="9"/>
  <c r="AC17" i="9" s="1"/>
  <c r="L17" i="9"/>
  <c r="P17" i="9" s="1"/>
  <c r="Y17" i="9" s="1"/>
  <c r="L16" i="9"/>
  <c r="P16" i="9" s="1"/>
  <c r="AB16" i="9" s="1"/>
  <c r="L15" i="9"/>
  <c r="P15" i="9" s="1"/>
  <c r="Y15" i="9" s="1"/>
  <c r="L14" i="9"/>
  <c r="P14" i="9" s="1"/>
  <c r="L13" i="9"/>
  <c r="P13" i="9" s="1"/>
  <c r="Q12" i="9"/>
  <c r="AC12" i="9" s="1"/>
  <c r="P12" i="9"/>
  <c r="L12" i="9"/>
  <c r="O12" i="9"/>
  <c r="AA12" i="9" s="1"/>
  <c r="AN12" i="9" s="1"/>
  <c r="AO12" i="9" s="1"/>
  <c r="Q11" i="9"/>
  <c r="L11" i="9"/>
  <c r="P11" i="9" s="1"/>
  <c r="L10" i="9"/>
  <c r="P10" i="9" s="1"/>
  <c r="O10" i="9"/>
  <c r="AA10" i="9" s="1"/>
  <c r="Q9" i="9"/>
  <c r="AC9" i="9" s="1"/>
  <c r="L9" i="9"/>
  <c r="P9" i="9" s="1"/>
  <c r="O9" i="9"/>
  <c r="X9" i="9" s="1"/>
  <c r="L8" i="9"/>
  <c r="P8" i="9" s="1"/>
  <c r="L7" i="9"/>
  <c r="P7" i="9" s="1"/>
  <c r="Y7" i="9" s="1"/>
  <c r="CY5" i="9"/>
  <c r="CE5" i="9"/>
  <c r="CD5" i="9"/>
  <c r="BS5" i="9"/>
  <c r="BR5" i="9"/>
  <c r="BQ5" i="9"/>
  <c r="O41" i="8"/>
  <c r="M50" i="8"/>
  <c r="Q50" i="8" s="1"/>
  <c r="AC50" i="8" s="1"/>
  <c r="M49" i="8"/>
  <c r="Q49" i="8" s="1"/>
  <c r="M48" i="8"/>
  <c r="Q48" i="8" s="1"/>
  <c r="Z48" i="8" s="1"/>
  <c r="M47" i="8"/>
  <c r="Q47" i="8" s="1"/>
  <c r="AC47" i="8" s="1"/>
  <c r="M46" i="8"/>
  <c r="Q46" i="8" s="1"/>
  <c r="Z46" i="8" s="1"/>
  <c r="M45" i="8"/>
  <c r="M44" i="8"/>
  <c r="Q44" i="8" s="1"/>
  <c r="AC44" i="8" s="1"/>
  <c r="M43" i="8"/>
  <c r="Q43" i="8" s="1"/>
  <c r="AC43" i="8" s="1"/>
  <c r="M42" i="8"/>
  <c r="Q42" i="8" s="1"/>
  <c r="AC42" i="8" s="1"/>
  <c r="M41" i="8"/>
  <c r="Q41" i="8" s="1"/>
  <c r="AC41" i="8" s="1"/>
  <c r="M40" i="8"/>
  <c r="Q40" i="8" s="1"/>
  <c r="AC40" i="8" s="1"/>
  <c r="M39" i="8"/>
  <c r="Q39" i="8" s="1"/>
  <c r="AC39" i="8" s="1"/>
  <c r="M38" i="8"/>
  <c r="Q38" i="8" s="1"/>
  <c r="AC38" i="8" s="1"/>
  <c r="M37" i="8"/>
  <c r="Q37" i="8" s="1"/>
  <c r="AC37" i="8" s="1"/>
  <c r="M36" i="8"/>
  <c r="Q36" i="8" s="1"/>
  <c r="AC36" i="8" s="1"/>
  <c r="M35" i="8"/>
  <c r="Q35" i="8" s="1"/>
  <c r="AC35" i="8" s="1"/>
  <c r="M34" i="8"/>
  <c r="Q34" i="8" s="1"/>
  <c r="AC34" i="8" s="1"/>
  <c r="M33" i="8"/>
  <c r="Q33" i="8" s="1"/>
  <c r="Z33" i="8" s="1"/>
  <c r="M32" i="8"/>
  <c r="Q32" i="8" s="1"/>
  <c r="AC32" i="8" s="1"/>
  <c r="M31" i="8"/>
  <c r="Q31" i="8" s="1"/>
  <c r="AC31" i="8" s="1"/>
  <c r="M30" i="8"/>
  <c r="Q30" i="8" s="1"/>
  <c r="Z30" i="8" s="1"/>
  <c r="M29" i="8"/>
  <c r="M28" i="8"/>
  <c r="Q28" i="8" s="1"/>
  <c r="M27" i="8"/>
  <c r="Q27" i="8" s="1"/>
  <c r="Z27" i="8" s="1"/>
  <c r="M26" i="8"/>
  <c r="Q26" i="8" s="1"/>
  <c r="AC26" i="8" s="1"/>
  <c r="M25" i="8"/>
  <c r="Q25" i="8" s="1"/>
  <c r="M22" i="8"/>
  <c r="Q22" i="8" s="1"/>
  <c r="M21" i="8"/>
  <c r="Q21" i="8" s="1"/>
  <c r="AC21" i="8" s="1"/>
  <c r="M20" i="8"/>
  <c r="Q20" i="8" s="1"/>
  <c r="AC20" i="8" s="1"/>
  <c r="M19" i="8"/>
  <c r="M18" i="8"/>
  <c r="M17" i="8"/>
  <c r="Q17" i="8" s="1"/>
  <c r="M16" i="8"/>
  <c r="Q16" i="8" s="1"/>
  <c r="Z16" i="8" s="1"/>
  <c r="M15" i="8"/>
  <c r="Q15" i="8" s="1"/>
  <c r="Z15" i="8" s="1"/>
  <c r="M14" i="8"/>
  <c r="Q14" i="8" s="1"/>
  <c r="M13" i="8"/>
  <c r="Q13" i="8" s="1"/>
  <c r="M12" i="8"/>
  <c r="M11" i="8"/>
  <c r="Q11" i="8" s="1"/>
  <c r="M10" i="8"/>
  <c r="Q10" i="8" s="1"/>
  <c r="M9" i="8"/>
  <c r="Q9" i="8" s="1"/>
  <c r="Z9" i="8" s="1"/>
  <c r="M8" i="8"/>
  <c r="Q8" i="8" s="1"/>
  <c r="Z8" i="8" s="1"/>
  <c r="M7" i="8"/>
  <c r="Q7" i="8" s="1"/>
  <c r="AC7" i="8" s="1"/>
  <c r="M6" i="8"/>
  <c r="Q6" i="8" s="1"/>
  <c r="O20" i="8"/>
  <c r="Q29" i="8"/>
  <c r="AC29" i="8" s="1"/>
  <c r="P42" i="8"/>
  <c r="AB42" i="8" s="1"/>
  <c r="P14" i="8"/>
  <c r="AB14" i="8" s="1"/>
  <c r="P6" i="8"/>
  <c r="AL50" i="8"/>
  <c r="AM50" i="8" s="1"/>
  <c r="F50" i="8"/>
  <c r="AL49" i="8"/>
  <c r="F49" i="8"/>
  <c r="AL48" i="8"/>
  <c r="F48" i="8"/>
  <c r="AL47" i="8"/>
  <c r="AM47" i="8" s="1"/>
  <c r="F47" i="8"/>
  <c r="AL46" i="8"/>
  <c r="AM46" i="8" s="1"/>
  <c r="F46" i="8"/>
  <c r="AL45" i="8"/>
  <c r="AM45" i="8" s="1"/>
  <c r="Q45" i="8"/>
  <c r="AC45" i="8" s="1"/>
  <c r="F45" i="8"/>
  <c r="AL44" i="8"/>
  <c r="AM44" i="8" s="1"/>
  <c r="F44" i="8"/>
  <c r="AL43" i="8"/>
  <c r="AM43" i="8" s="1"/>
  <c r="F43" i="8"/>
  <c r="AL42" i="8"/>
  <c r="AM42" i="8" s="1"/>
  <c r="F42" i="8"/>
  <c r="AL41" i="8"/>
  <c r="AM41" i="8" s="1"/>
  <c r="F41" i="8"/>
  <c r="AL40" i="8"/>
  <c r="AM40" i="8" s="1"/>
  <c r="F40" i="8"/>
  <c r="AL39" i="8"/>
  <c r="AM39" i="8" s="1"/>
  <c r="F39" i="8"/>
  <c r="AL38" i="8"/>
  <c r="AM38" i="8" s="1"/>
  <c r="F38" i="8"/>
  <c r="AL37" i="8"/>
  <c r="AM37" i="8" s="1"/>
  <c r="O37" i="8"/>
  <c r="X37" i="8" s="1"/>
  <c r="F37" i="8"/>
  <c r="AL36" i="8"/>
  <c r="AM36" i="8" s="1"/>
  <c r="F36" i="8"/>
  <c r="AL35" i="8"/>
  <c r="AM35" i="8" s="1"/>
  <c r="F35" i="8"/>
  <c r="AL34" i="8"/>
  <c r="F34" i="8"/>
  <c r="AL33" i="8"/>
  <c r="F33" i="8"/>
  <c r="AL32" i="8"/>
  <c r="F32" i="8"/>
  <c r="AL31" i="8"/>
  <c r="AM31" i="8" s="1"/>
  <c r="F31" i="8"/>
  <c r="AL30" i="8"/>
  <c r="AM30" i="8" s="1"/>
  <c r="F30" i="8"/>
  <c r="AL29" i="8"/>
  <c r="AM29" i="8" s="1"/>
  <c r="F29" i="8"/>
  <c r="AL28" i="8"/>
  <c r="AM28" i="8" s="1"/>
  <c r="F28" i="8"/>
  <c r="AL27" i="8"/>
  <c r="AM27" i="8" s="1"/>
  <c r="P27" i="8"/>
  <c r="AB27" i="8" s="1"/>
  <c r="O27" i="8"/>
  <c r="AA27" i="8" s="1"/>
  <c r="F27" i="8"/>
  <c r="AL26" i="8"/>
  <c r="AM26" i="8" s="1"/>
  <c r="F26" i="8"/>
  <c r="CY25" i="8"/>
  <c r="CE25" i="8"/>
  <c r="CD25" i="8"/>
  <c r="BS25" i="8"/>
  <c r="BR25" i="8"/>
  <c r="BQ25" i="8"/>
  <c r="AL25" i="8"/>
  <c r="AM25" i="8" s="1"/>
  <c r="F25" i="8"/>
  <c r="AL22" i="8"/>
  <c r="P22" i="8"/>
  <c r="AB22" i="8" s="1"/>
  <c r="AL21" i="8"/>
  <c r="AM21" i="8" s="1"/>
  <c r="AL20" i="8"/>
  <c r="AM20" i="8" s="1"/>
  <c r="AL19" i="8"/>
  <c r="AM19" i="8" s="1"/>
  <c r="Q19" i="8"/>
  <c r="AC19" i="8" s="1"/>
  <c r="AL18" i="8"/>
  <c r="AM18" i="8" s="1"/>
  <c r="Q18" i="8"/>
  <c r="Z18" i="8" s="1"/>
  <c r="AL17" i="8"/>
  <c r="AM17" i="8" s="1"/>
  <c r="AL16" i="8"/>
  <c r="AM16" i="8" s="1"/>
  <c r="AL15" i="8"/>
  <c r="AL14" i="8"/>
  <c r="AL13" i="8"/>
  <c r="AM13" i="8" s="1"/>
  <c r="AL12" i="8"/>
  <c r="AM12" i="8" s="1"/>
  <c r="Q12" i="8"/>
  <c r="AC12" i="8" s="1"/>
  <c r="O12" i="8"/>
  <c r="AA12" i="8" s="1"/>
  <c r="AL11" i="8"/>
  <c r="AM11" i="8" s="1"/>
  <c r="O11" i="8"/>
  <c r="AA11" i="8" s="1"/>
  <c r="AL10" i="8"/>
  <c r="AM10" i="8" s="1"/>
  <c r="AL9" i="8"/>
  <c r="AM9" i="8" s="1"/>
  <c r="AL8" i="8"/>
  <c r="AL7" i="8"/>
  <c r="AM7" i="8" s="1"/>
  <c r="AL6" i="8"/>
  <c r="AM6" i="8" s="1"/>
  <c r="CY5" i="8"/>
  <c r="CE5" i="8"/>
  <c r="CD5" i="8"/>
  <c r="BS5" i="8"/>
  <c r="BR5" i="8"/>
  <c r="BQ5" i="8"/>
  <c r="AL5" i="8"/>
  <c r="AM5" i="8" s="1"/>
  <c r="CY25" i="6"/>
  <c r="CY5" i="6"/>
  <c r="CY25" i="5"/>
  <c r="CY5" i="5"/>
  <c r="CZ25" i="1"/>
  <c r="CZ5" i="1"/>
  <c r="CE25" i="6"/>
  <c r="CD25" i="6"/>
  <c r="CE5" i="6"/>
  <c r="CD5" i="6"/>
  <c r="CE25" i="5"/>
  <c r="CD25" i="5"/>
  <c r="CE5" i="5"/>
  <c r="CD5" i="5"/>
  <c r="CF25" i="1"/>
  <c r="CE25" i="1"/>
  <c r="CF5" i="1"/>
  <c r="CE5" i="1"/>
  <c r="BS25" i="6"/>
  <c r="BR25" i="6"/>
  <c r="BQ25" i="6"/>
  <c r="BS5" i="6"/>
  <c r="BR5" i="6"/>
  <c r="BQ5" i="6"/>
  <c r="BS25" i="5"/>
  <c r="BR25" i="5"/>
  <c r="BQ25" i="5"/>
  <c r="BS5" i="5"/>
  <c r="BR5" i="5"/>
  <c r="BQ5" i="5"/>
  <c r="BR5" i="1"/>
  <c r="BT25" i="1"/>
  <c r="BS25" i="1"/>
  <c r="BR25" i="1"/>
  <c r="BT5" i="1"/>
  <c r="BS5" i="1"/>
  <c r="AL50" i="6"/>
  <c r="AM50" i="6" s="1"/>
  <c r="Q50" i="6"/>
  <c r="AC50" i="6" s="1"/>
  <c r="P50" i="6"/>
  <c r="AB50" i="6" s="1"/>
  <c r="O50" i="6"/>
  <c r="AA50" i="6" s="1"/>
  <c r="AN50" i="6" s="1"/>
  <c r="AO50" i="6" s="1"/>
  <c r="F50" i="6"/>
  <c r="AL49" i="6"/>
  <c r="AM49" i="6" s="1"/>
  <c r="Q49" i="6"/>
  <c r="AC49" i="6" s="1"/>
  <c r="P49" i="6"/>
  <c r="Y49" i="6" s="1"/>
  <c r="O49" i="6"/>
  <c r="AA49" i="6" s="1"/>
  <c r="F49" i="6"/>
  <c r="AL48" i="6"/>
  <c r="AM48" i="6" s="1"/>
  <c r="Q48" i="6"/>
  <c r="Z48" i="6" s="1"/>
  <c r="P48" i="6"/>
  <c r="Y48" i="6" s="1"/>
  <c r="O48" i="6"/>
  <c r="X48" i="6" s="1"/>
  <c r="F48" i="6"/>
  <c r="AL47" i="6"/>
  <c r="Q47" i="6"/>
  <c r="Z47" i="6" s="1"/>
  <c r="P47" i="6"/>
  <c r="Y47" i="6" s="1"/>
  <c r="O47" i="6"/>
  <c r="AA47" i="6" s="1"/>
  <c r="F47" i="6"/>
  <c r="AL46" i="6"/>
  <c r="Q46" i="6"/>
  <c r="AC46" i="6" s="1"/>
  <c r="P46" i="6"/>
  <c r="O46" i="6"/>
  <c r="AA46" i="6" s="1"/>
  <c r="AN46" i="6" s="1"/>
  <c r="AO46" i="6" s="1"/>
  <c r="F46" i="6"/>
  <c r="AL45" i="6"/>
  <c r="AM45" i="6" s="1"/>
  <c r="Q45" i="6"/>
  <c r="AC45" i="6" s="1"/>
  <c r="P45" i="6"/>
  <c r="Y45" i="6" s="1"/>
  <c r="O45" i="6"/>
  <c r="AA45" i="6" s="1"/>
  <c r="F45" i="6"/>
  <c r="AL44" i="6"/>
  <c r="AM44" i="6" s="1"/>
  <c r="Q44" i="6"/>
  <c r="AC44" i="6" s="1"/>
  <c r="P44" i="6"/>
  <c r="Y44" i="6" s="1"/>
  <c r="O44" i="6"/>
  <c r="X44" i="6" s="1"/>
  <c r="F44" i="6"/>
  <c r="AL43" i="6"/>
  <c r="Q43" i="6"/>
  <c r="Z43" i="6" s="1"/>
  <c r="P43" i="6"/>
  <c r="Y43" i="6" s="1"/>
  <c r="O43" i="6"/>
  <c r="X43" i="6" s="1"/>
  <c r="F43" i="6"/>
  <c r="AL42" i="6"/>
  <c r="Q42" i="6"/>
  <c r="AC42" i="6" s="1"/>
  <c r="P42" i="6"/>
  <c r="O42" i="6"/>
  <c r="AA42" i="6" s="1"/>
  <c r="F42" i="6"/>
  <c r="AL41" i="6"/>
  <c r="AM41" i="6" s="1"/>
  <c r="Q41" i="6"/>
  <c r="AC41" i="6" s="1"/>
  <c r="P41" i="6"/>
  <c r="Y41" i="6" s="1"/>
  <c r="O41" i="6"/>
  <c r="AA41" i="6" s="1"/>
  <c r="F41" i="6"/>
  <c r="AL40" i="6"/>
  <c r="AM40" i="6" s="1"/>
  <c r="Q40" i="6"/>
  <c r="AC40" i="6" s="1"/>
  <c r="P40" i="6"/>
  <c r="Y40" i="6" s="1"/>
  <c r="O40" i="6"/>
  <c r="X40" i="6" s="1"/>
  <c r="F40" i="6"/>
  <c r="AL39" i="6"/>
  <c r="Q39" i="6"/>
  <c r="Z39" i="6" s="1"/>
  <c r="P39" i="6"/>
  <c r="Y39" i="6" s="1"/>
  <c r="O39" i="6"/>
  <c r="AA39" i="6" s="1"/>
  <c r="F39" i="6"/>
  <c r="AL38" i="6"/>
  <c r="Q38" i="6"/>
  <c r="AC38" i="6" s="1"/>
  <c r="P38" i="6"/>
  <c r="O38" i="6"/>
  <c r="AA38" i="6" s="1"/>
  <c r="AN38" i="6" s="1"/>
  <c r="AO38" i="6" s="1"/>
  <c r="F38" i="6"/>
  <c r="AL37" i="6"/>
  <c r="Q37" i="6"/>
  <c r="AC37" i="6" s="1"/>
  <c r="P37" i="6"/>
  <c r="Y37" i="6" s="1"/>
  <c r="O37" i="6"/>
  <c r="AA37" i="6" s="1"/>
  <c r="F37" i="6"/>
  <c r="AL36" i="6"/>
  <c r="AM36" i="6" s="1"/>
  <c r="Q36" i="6"/>
  <c r="AC36" i="6" s="1"/>
  <c r="P36" i="6"/>
  <c r="Y36" i="6" s="1"/>
  <c r="O36" i="6"/>
  <c r="X36" i="6" s="1"/>
  <c r="F36" i="6"/>
  <c r="AL35" i="6"/>
  <c r="Q35" i="6"/>
  <c r="AC35" i="6" s="1"/>
  <c r="P35" i="6"/>
  <c r="O35" i="6"/>
  <c r="AA35" i="6" s="1"/>
  <c r="F35" i="6"/>
  <c r="AL34" i="6"/>
  <c r="AM34" i="6" s="1"/>
  <c r="Q34" i="6"/>
  <c r="AC34" i="6" s="1"/>
  <c r="P34" i="6"/>
  <c r="Y34" i="6" s="1"/>
  <c r="O34" i="6"/>
  <c r="AA34" i="6" s="1"/>
  <c r="F34" i="6"/>
  <c r="AL33" i="6"/>
  <c r="AM33" i="6" s="1"/>
  <c r="Q33" i="6"/>
  <c r="AC33" i="6" s="1"/>
  <c r="P33" i="6"/>
  <c r="Y33" i="6" s="1"/>
  <c r="O33" i="6"/>
  <c r="X33" i="6" s="1"/>
  <c r="F33" i="6"/>
  <c r="AL32" i="6"/>
  <c r="Q32" i="6"/>
  <c r="Z32" i="6" s="1"/>
  <c r="P32" i="6"/>
  <c r="Y32" i="6" s="1"/>
  <c r="O32" i="6"/>
  <c r="AA32" i="6" s="1"/>
  <c r="F32" i="6"/>
  <c r="AL31" i="6"/>
  <c r="Q31" i="6"/>
  <c r="Z31" i="6" s="1"/>
  <c r="P31" i="6"/>
  <c r="O31" i="6"/>
  <c r="AA31" i="6" s="1"/>
  <c r="F31" i="6"/>
  <c r="AL30" i="6"/>
  <c r="AM30" i="6" s="1"/>
  <c r="Q30" i="6"/>
  <c r="AC30" i="6" s="1"/>
  <c r="P30" i="6"/>
  <c r="Y30" i="6" s="1"/>
  <c r="O30" i="6"/>
  <c r="X30" i="6" s="1"/>
  <c r="F30" i="6"/>
  <c r="AL29" i="6"/>
  <c r="AM29" i="6" s="1"/>
  <c r="Q29" i="6"/>
  <c r="AC29" i="6" s="1"/>
  <c r="P29" i="6"/>
  <c r="Y29" i="6" s="1"/>
  <c r="O29" i="6"/>
  <c r="X29" i="6" s="1"/>
  <c r="F29" i="6"/>
  <c r="AL28" i="6"/>
  <c r="Q28" i="6"/>
  <c r="Z28" i="6" s="1"/>
  <c r="P28" i="6"/>
  <c r="Y28" i="6" s="1"/>
  <c r="O28" i="6"/>
  <c r="AA28" i="6" s="1"/>
  <c r="F28" i="6"/>
  <c r="AL27" i="6"/>
  <c r="Q27" i="6"/>
  <c r="AC27" i="6" s="1"/>
  <c r="P27" i="6"/>
  <c r="O27" i="6"/>
  <c r="AA27" i="6" s="1"/>
  <c r="F27" i="6"/>
  <c r="AL26" i="6"/>
  <c r="AM26" i="6" s="1"/>
  <c r="Q26" i="6"/>
  <c r="AC26" i="6" s="1"/>
  <c r="P26" i="6"/>
  <c r="Y26" i="6" s="1"/>
  <c r="O26" i="6"/>
  <c r="AA26" i="6" s="1"/>
  <c r="F26" i="6"/>
  <c r="AL25" i="6"/>
  <c r="Q25" i="6"/>
  <c r="P25" i="6"/>
  <c r="O25" i="6"/>
  <c r="F25" i="6"/>
  <c r="AL22" i="6"/>
  <c r="AM22" i="6" s="1"/>
  <c r="Q22" i="6"/>
  <c r="AC22" i="6" s="1"/>
  <c r="P22" i="6"/>
  <c r="O22" i="6"/>
  <c r="AA22" i="6" s="1"/>
  <c r="AL21" i="6"/>
  <c r="AM21" i="6" s="1"/>
  <c r="Q21" i="6"/>
  <c r="P21" i="6"/>
  <c r="AB21" i="6" s="1"/>
  <c r="O21" i="6"/>
  <c r="AA21" i="6" s="1"/>
  <c r="AL20" i="6"/>
  <c r="AM20" i="6" s="1"/>
  <c r="Q20" i="6"/>
  <c r="AC20" i="6" s="1"/>
  <c r="P20" i="6"/>
  <c r="Y20" i="6" s="1"/>
  <c r="O20" i="6"/>
  <c r="AA20" i="6" s="1"/>
  <c r="AL19" i="6"/>
  <c r="AM19" i="6" s="1"/>
  <c r="Q19" i="6"/>
  <c r="Z19" i="6" s="1"/>
  <c r="P19" i="6"/>
  <c r="AB19" i="6" s="1"/>
  <c r="O19" i="6"/>
  <c r="X19" i="6" s="1"/>
  <c r="AL18" i="6"/>
  <c r="AM18" i="6" s="1"/>
  <c r="Q18" i="6"/>
  <c r="Z18" i="6" s="1"/>
  <c r="P18" i="6"/>
  <c r="Y18" i="6" s="1"/>
  <c r="O18" i="6"/>
  <c r="X18" i="6" s="1"/>
  <c r="AL17" i="6"/>
  <c r="AM17" i="6" s="1"/>
  <c r="Q17" i="6"/>
  <c r="Z17" i="6" s="1"/>
  <c r="P17" i="6"/>
  <c r="Y17" i="6" s="1"/>
  <c r="O17" i="6"/>
  <c r="X17" i="6" s="1"/>
  <c r="AL16" i="6"/>
  <c r="Q16" i="6"/>
  <c r="Z16" i="6" s="1"/>
  <c r="P16" i="6"/>
  <c r="Y16" i="6" s="1"/>
  <c r="O16" i="6"/>
  <c r="AA16" i="6" s="1"/>
  <c r="AL15" i="6"/>
  <c r="AM15" i="6" s="1"/>
  <c r="Q15" i="6"/>
  <c r="Z15" i="6" s="1"/>
  <c r="P15" i="6"/>
  <c r="AB15" i="6" s="1"/>
  <c r="O15" i="6"/>
  <c r="AL14" i="6"/>
  <c r="Q14" i="6"/>
  <c r="AC14" i="6" s="1"/>
  <c r="P14" i="6"/>
  <c r="O14" i="6"/>
  <c r="AA14" i="6" s="1"/>
  <c r="AL13" i="6"/>
  <c r="AM13" i="6" s="1"/>
  <c r="Q13" i="6"/>
  <c r="P13" i="6"/>
  <c r="AB13" i="6" s="1"/>
  <c r="O13" i="6"/>
  <c r="AA13" i="6" s="1"/>
  <c r="AL12" i="6"/>
  <c r="AM12" i="6" s="1"/>
  <c r="Q12" i="6"/>
  <c r="AC12" i="6" s="1"/>
  <c r="P12" i="6"/>
  <c r="Y12" i="6" s="1"/>
  <c r="O12" i="6"/>
  <c r="AA12" i="6" s="1"/>
  <c r="AL11" i="6"/>
  <c r="AM11" i="6" s="1"/>
  <c r="Q11" i="6"/>
  <c r="AC11" i="6" s="1"/>
  <c r="P11" i="6"/>
  <c r="AB11" i="6" s="1"/>
  <c r="O11" i="6"/>
  <c r="X11" i="6" s="1"/>
  <c r="AL10" i="6"/>
  <c r="AM10" i="6" s="1"/>
  <c r="Q10" i="6"/>
  <c r="Z10" i="6" s="1"/>
  <c r="P10" i="6"/>
  <c r="Y10" i="6" s="1"/>
  <c r="O10" i="6"/>
  <c r="X10" i="6" s="1"/>
  <c r="AL9" i="6"/>
  <c r="AM9" i="6" s="1"/>
  <c r="Q9" i="6"/>
  <c r="Z9" i="6" s="1"/>
  <c r="P9" i="6"/>
  <c r="Y9" i="6" s="1"/>
  <c r="O9" i="6"/>
  <c r="X9" i="6" s="1"/>
  <c r="AL8" i="6"/>
  <c r="Q8" i="6"/>
  <c r="Z8" i="6" s="1"/>
  <c r="P8" i="6"/>
  <c r="Y8" i="6" s="1"/>
  <c r="O8" i="6"/>
  <c r="AA8" i="6" s="1"/>
  <c r="AL7" i="6"/>
  <c r="Q7" i="6"/>
  <c r="Z7" i="6" s="1"/>
  <c r="P7" i="6"/>
  <c r="AB7" i="6" s="1"/>
  <c r="O7" i="6"/>
  <c r="AL6" i="6"/>
  <c r="AM6" i="6" s="1"/>
  <c r="Q6" i="6"/>
  <c r="AC6" i="6" s="1"/>
  <c r="P6" i="6"/>
  <c r="O6" i="6"/>
  <c r="AA6" i="6" s="1"/>
  <c r="AL5" i="6"/>
  <c r="Q5" i="6"/>
  <c r="Z5" i="6" s="1"/>
  <c r="P5" i="6"/>
  <c r="AB5" i="6" s="1"/>
  <c r="O5" i="6"/>
  <c r="AL50" i="5"/>
  <c r="AM50" i="5" s="1"/>
  <c r="AL49" i="5"/>
  <c r="AM49" i="5" s="1"/>
  <c r="AL48" i="5"/>
  <c r="AM48" i="5" s="1"/>
  <c r="AL47" i="5"/>
  <c r="AM47" i="5" s="1"/>
  <c r="AL46" i="5"/>
  <c r="AM46" i="5" s="1"/>
  <c r="AL45" i="5"/>
  <c r="AL44" i="5"/>
  <c r="AM44" i="5" s="1"/>
  <c r="AL43" i="5"/>
  <c r="AM43" i="5" s="1"/>
  <c r="AL42" i="5"/>
  <c r="AM42" i="5" s="1"/>
  <c r="AL41" i="5"/>
  <c r="AM41" i="5" s="1"/>
  <c r="AL40" i="5"/>
  <c r="AL39" i="5"/>
  <c r="AM39" i="5" s="1"/>
  <c r="AL38" i="5"/>
  <c r="AM38" i="5" s="1"/>
  <c r="AL37" i="5"/>
  <c r="AM37" i="5" s="1"/>
  <c r="AL36" i="5"/>
  <c r="AM36" i="5" s="1"/>
  <c r="AL35" i="5"/>
  <c r="AM35" i="5" s="1"/>
  <c r="AL34" i="5"/>
  <c r="AM34" i="5" s="1"/>
  <c r="AL33" i="5"/>
  <c r="AM33" i="5" s="1"/>
  <c r="AL32" i="5"/>
  <c r="AM32" i="5" s="1"/>
  <c r="AL31" i="5"/>
  <c r="AM31" i="5" s="1"/>
  <c r="AL30" i="5"/>
  <c r="AM30" i="5" s="1"/>
  <c r="AL29" i="5"/>
  <c r="AM29" i="5" s="1"/>
  <c r="AL28" i="5"/>
  <c r="AM28" i="5" s="1"/>
  <c r="AL27" i="5"/>
  <c r="AM27" i="5" s="1"/>
  <c r="AL26" i="5"/>
  <c r="AM26" i="5" s="1"/>
  <c r="AL25" i="5"/>
  <c r="AL22" i="5"/>
  <c r="AM22" i="5" s="1"/>
  <c r="AL21" i="5"/>
  <c r="AM21" i="5" s="1"/>
  <c r="AL20" i="5"/>
  <c r="AM20" i="5" s="1"/>
  <c r="AL19" i="5"/>
  <c r="AM19" i="5" s="1"/>
  <c r="AL18" i="5"/>
  <c r="AM18" i="5" s="1"/>
  <c r="AL17" i="5"/>
  <c r="AM17" i="5" s="1"/>
  <c r="AL16" i="5"/>
  <c r="AM16" i="5" s="1"/>
  <c r="AL15" i="5"/>
  <c r="AM15" i="5" s="1"/>
  <c r="AL14" i="5"/>
  <c r="AM14" i="5" s="1"/>
  <c r="AL13" i="5"/>
  <c r="AM13" i="5" s="1"/>
  <c r="AL12" i="5"/>
  <c r="AM12" i="5" s="1"/>
  <c r="AL11" i="5"/>
  <c r="AM11" i="5" s="1"/>
  <c r="AL10" i="5"/>
  <c r="AM10" i="5" s="1"/>
  <c r="AL9" i="5"/>
  <c r="AM9" i="5" s="1"/>
  <c r="AL8" i="5"/>
  <c r="AM8" i="5" s="1"/>
  <c r="AL7" i="5"/>
  <c r="AL6" i="5"/>
  <c r="AM6" i="5" s="1"/>
  <c r="AL5" i="5"/>
  <c r="AM5" i="5" s="1"/>
  <c r="P50" i="5"/>
  <c r="P49" i="5"/>
  <c r="P48" i="5"/>
  <c r="P42" i="5"/>
  <c r="P41" i="5"/>
  <c r="P40" i="5"/>
  <c r="P34" i="5"/>
  <c r="P33" i="5"/>
  <c r="Y33" i="5" s="1"/>
  <c r="P32" i="5"/>
  <c r="P26" i="5"/>
  <c r="P25" i="5"/>
  <c r="Y25" i="5" s="1"/>
  <c r="P22" i="5"/>
  <c r="P21" i="5"/>
  <c r="Y21" i="5" s="1"/>
  <c r="P20" i="5"/>
  <c r="P19" i="5"/>
  <c r="AB19" i="5" s="1"/>
  <c r="P18" i="5"/>
  <c r="P17" i="5"/>
  <c r="AB17" i="5" s="1"/>
  <c r="P16" i="5"/>
  <c r="P15" i="5"/>
  <c r="AB15" i="5" s="1"/>
  <c r="P14" i="5"/>
  <c r="P13" i="5"/>
  <c r="Y13" i="5" s="1"/>
  <c r="P12" i="5"/>
  <c r="P11" i="5"/>
  <c r="AB11" i="5" s="1"/>
  <c r="P10" i="5"/>
  <c r="P9" i="5"/>
  <c r="Y9" i="5" s="1"/>
  <c r="P8" i="5"/>
  <c r="P7" i="5"/>
  <c r="AB7" i="5" s="1"/>
  <c r="P6" i="5"/>
  <c r="Y6" i="5" s="1"/>
  <c r="Q50" i="5"/>
  <c r="Q49" i="5"/>
  <c r="Q48" i="5"/>
  <c r="Q47" i="5"/>
  <c r="Q46" i="5"/>
  <c r="Q45" i="5"/>
  <c r="Q44" i="5"/>
  <c r="Q43" i="5"/>
  <c r="Q42" i="5"/>
  <c r="Q41" i="5"/>
  <c r="Q40" i="5"/>
  <c r="Q39" i="5"/>
  <c r="AC39" i="5" s="1"/>
  <c r="Q38" i="5"/>
  <c r="Q37" i="5"/>
  <c r="AC37" i="5" s="1"/>
  <c r="Q36" i="5"/>
  <c r="Q35" i="5"/>
  <c r="Q34" i="5"/>
  <c r="AC34" i="5" s="1"/>
  <c r="Q33" i="5"/>
  <c r="Q32" i="5"/>
  <c r="AC32" i="5" s="1"/>
  <c r="Q31" i="5"/>
  <c r="Q30" i="5"/>
  <c r="AC30" i="5" s="1"/>
  <c r="Q29" i="5"/>
  <c r="Q28" i="5"/>
  <c r="AC28" i="5" s="1"/>
  <c r="Q27" i="5"/>
  <c r="Q26" i="5"/>
  <c r="AC26" i="5" s="1"/>
  <c r="Q25" i="5"/>
  <c r="Q22" i="5"/>
  <c r="AC22" i="5" s="1"/>
  <c r="Q21" i="5"/>
  <c r="Q20" i="5"/>
  <c r="AC20" i="5" s="1"/>
  <c r="Q19" i="5"/>
  <c r="Z19" i="5" s="1"/>
  <c r="Q18" i="5"/>
  <c r="AC18" i="5" s="1"/>
  <c r="Q17" i="5"/>
  <c r="Z17" i="5" s="1"/>
  <c r="Q16" i="5"/>
  <c r="AC16" i="5" s="1"/>
  <c r="Q15" i="5"/>
  <c r="Z15" i="5" s="1"/>
  <c r="Q14" i="5"/>
  <c r="AC14" i="5" s="1"/>
  <c r="Q13" i="5"/>
  <c r="Z13" i="5" s="1"/>
  <c r="Q12" i="5"/>
  <c r="AC12" i="5" s="1"/>
  <c r="Q11" i="5"/>
  <c r="Z11" i="5" s="1"/>
  <c r="Q10" i="5"/>
  <c r="AC10" i="5" s="1"/>
  <c r="Q9" i="5"/>
  <c r="Z9" i="5" s="1"/>
  <c r="Q8" i="5"/>
  <c r="AC8" i="5" s="1"/>
  <c r="Q7" i="5"/>
  <c r="AC7" i="5" s="1"/>
  <c r="Q6" i="5"/>
  <c r="AC6" i="5" s="1"/>
  <c r="Q5" i="5"/>
  <c r="AC5" i="5" s="1"/>
  <c r="P5" i="5"/>
  <c r="Y5" i="5" s="1"/>
  <c r="O50" i="5"/>
  <c r="O48" i="5"/>
  <c r="O45" i="5"/>
  <c r="O44" i="5"/>
  <c r="O43" i="5"/>
  <c r="O42" i="5"/>
  <c r="O40" i="5"/>
  <c r="O37" i="5"/>
  <c r="O36" i="5"/>
  <c r="AA36" i="5" s="1"/>
  <c r="O35" i="5"/>
  <c r="AA35" i="5" s="1"/>
  <c r="O34" i="5"/>
  <c r="O32" i="5"/>
  <c r="O29" i="5"/>
  <c r="AA29" i="5" s="1"/>
  <c r="O28" i="5"/>
  <c r="O27" i="5"/>
  <c r="AA27" i="5" s="1"/>
  <c r="O26" i="5"/>
  <c r="O22" i="5"/>
  <c r="O21" i="5"/>
  <c r="AA21" i="5" s="1"/>
  <c r="O20" i="5"/>
  <c r="O19" i="5"/>
  <c r="AA19" i="5" s="1"/>
  <c r="O17" i="5"/>
  <c r="AA17" i="5" s="1"/>
  <c r="O16" i="5"/>
  <c r="X16" i="5" s="1"/>
  <c r="O15" i="5"/>
  <c r="AA15" i="5" s="1"/>
  <c r="O14" i="5"/>
  <c r="X14" i="5" s="1"/>
  <c r="O13" i="5"/>
  <c r="AA13" i="5" s="1"/>
  <c r="O12" i="5"/>
  <c r="X12" i="5" s="1"/>
  <c r="O11" i="5"/>
  <c r="AA11" i="5" s="1"/>
  <c r="O9" i="5"/>
  <c r="AA9" i="5" s="1"/>
  <c r="O8" i="5"/>
  <c r="AA8" i="5" s="1"/>
  <c r="O7" i="5"/>
  <c r="AA7" i="5" s="1"/>
  <c r="O6" i="5"/>
  <c r="X6" i="5" s="1"/>
  <c r="AA5" i="5"/>
  <c r="F50" i="5"/>
  <c r="F49" i="5"/>
  <c r="F48" i="5"/>
  <c r="F47" i="5"/>
  <c r="F46" i="5"/>
  <c r="F45" i="5"/>
  <c r="F44" i="5"/>
  <c r="F43" i="5"/>
  <c r="F42" i="5"/>
  <c r="F41" i="5"/>
  <c r="F40" i="5"/>
  <c r="F39" i="5"/>
  <c r="F38" i="5"/>
  <c r="F37" i="5"/>
  <c r="F36" i="5"/>
  <c r="F35" i="5"/>
  <c r="F34" i="5"/>
  <c r="F33" i="5"/>
  <c r="F32" i="5"/>
  <c r="F31" i="5"/>
  <c r="F30" i="5"/>
  <c r="F29" i="5"/>
  <c r="F28" i="5"/>
  <c r="F27" i="5"/>
  <c r="F26" i="5"/>
  <c r="F25" i="5"/>
  <c r="D6" i="3"/>
  <c r="C6" i="3"/>
  <c r="D5" i="3"/>
  <c r="C5" i="3"/>
  <c r="U50" i="2"/>
  <c r="U49" i="2"/>
  <c r="Z49" i="2" s="1"/>
  <c r="U48" i="2"/>
  <c r="Z48" i="2" s="1"/>
  <c r="U47" i="2"/>
  <c r="Z47" i="2" s="1"/>
  <c r="U46" i="2"/>
  <c r="Z46" i="2" s="1"/>
  <c r="AE46" i="2" s="1"/>
  <c r="U45" i="2"/>
  <c r="Z45" i="2" s="1"/>
  <c r="AE45" i="2" s="1"/>
  <c r="U44" i="2"/>
  <c r="Z44" i="2" s="1"/>
  <c r="U43" i="2"/>
  <c r="Z43" i="2" s="1"/>
  <c r="U42" i="2"/>
  <c r="U41" i="2"/>
  <c r="Z41" i="2" s="1"/>
  <c r="U40" i="2"/>
  <c r="Z40" i="2" s="1"/>
  <c r="U39" i="2"/>
  <c r="Z39" i="2" s="1"/>
  <c r="U38" i="2"/>
  <c r="Z38" i="2" s="1"/>
  <c r="AE38" i="2" s="1"/>
  <c r="U37" i="2"/>
  <c r="Z37" i="2" s="1"/>
  <c r="AE37" i="2" s="1"/>
  <c r="U36" i="2"/>
  <c r="Z36" i="2" s="1"/>
  <c r="U35" i="2"/>
  <c r="Z35" i="2" s="1"/>
  <c r="U34" i="2"/>
  <c r="Z34" i="2" s="1"/>
  <c r="U33" i="2"/>
  <c r="Z33" i="2" s="1"/>
  <c r="U32" i="2"/>
  <c r="Z32" i="2" s="1"/>
  <c r="U31" i="2"/>
  <c r="Z31" i="2" s="1"/>
  <c r="AE31" i="2" s="1"/>
  <c r="U30" i="2"/>
  <c r="Z30" i="2" s="1"/>
  <c r="AE30" i="2" s="1"/>
  <c r="U29" i="2"/>
  <c r="U28" i="2"/>
  <c r="Z28" i="2" s="1"/>
  <c r="U27" i="2"/>
  <c r="Z27" i="2" s="1"/>
  <c r="U26" i="2"/>
  <c r="Z26" i="2" s="1"/>
  <c r="U25" i="2"/>
  <c r="Z25" i="2" s="1"/>
  <c r="U22" i="2"/>
  <c r="Z22" i="2" s="1"/>
  <c r="U21" i="2"/>
  <c r="Z21" i="2" s="1"/>
  <c r="U20" i="2"/>
  <c r="U19" i="2"/>
  <c r="Z19" i="2" s="1"/>
  <c r="U18" i="2"/>
  <c r="Z18" i="2" s="1"/>
  <c r="U17" i="2"/>
  <c r="U16" i="2"/>
  <c r="U15" i="2"/>
  <c r="Z15" i="2" s="1"/>
  <c r="U14" i="2"/>
  <c r="Z14" i="2" s="1"/>
  <c r="U13" i="2"/>
  <c r="Z13" i="2" s="1"/>
  <c r="U12" i="2"/>
  <c r="Z12" i="2" s="1"/>
  <c r="U11" i="2"/>
  <c r="Z11" i="2" s="1"/>
  <c r="U10" i="2"/>
  <c r="Z10" i="2" s="1"/>
  <c r="U9" i="2"/>
  <c r="Z9" i="2" s="1"/>
  <c r="U8" i="2"/>
  <c r="U7" i="2"/>
  <c r="Z7" i="2" s="1"/>
  <c r="U6" i="2"/>
  <c r="Z6" i="2" s="1"/>
  <c r="U5" i="2"/>
  <c r="Z5" i="2" s="1"/>
  <c r="T50" i="2"/>
  <c r="Y50" i="2" s="1"/>
  <c r="T49" i="2"/>
  <c r="Y49" i="2" s="1"/>
  <c r="T48" i="2"/>
  <c r="Y48" i="2" s="1"/>
  <c r="T47" i="2"/>
  <c r="Y47" i="2" s="1"/>
  <c r="T46" i="2"/>
  <c r="Y46" i="2" s="1"/>
  <c r="AD46" i="2" s="1"/>
  <c r="T45" i="2"/>
  <c r="Y45" i="2" s="1"/>
  <c r="T44" i="2"/>
  <c r="Y44" i="2" s="1"/>
  <c r="AD44" i="2" s="1"/>
  <c r="T43" i="2"/>
  <c r="Y43" i="2" s="1"/>
  <c r="T42" i="2"/>
  <c r="Y42" i="2" s="1"/>
  <c r="T41" i="2"/>
  <c r="Y41" i="2" s="1"/>
  <c r="T40" i="2"/>
  <c r="Y40" i="2" s="1"/>
  <c r="T39" i="2"/>
  <c r="Y39" i="2" s="1"/>
  <c r="T38" i="2"/>
  <c r="T37" i="2"/>
  <c r="Y37" i="2" s="1"/>
  <c r="T36" i="2"/>
  <c r="Y36" i="2" s="1"/>
  <c r="AD36" i="2" s="1"/>
  <c r="T35" i="2"/>
  <c r="Y35" i="2" s="1"/>
  <c r="T34" i="2"/>
  <c r="Y34" i="2" s="1"/>
  <c r="T33" i="2"/>
  <c r="Y33" i="2" s="1"/>
  <c r="T32" i="2"/>
  <c r="Y32" i="2" s="1"/>
  <c r="T31" i="2"/>
  <c r="T30" i="2"/>
  <c r="Y30" i="2" s="1"/>
  <c r="T29" i="2"/>
  <c r="Y29" i="2" s="1"/>
  <c r="T28" i="2"/>
  <c r="Y28" i="2" s="1"/>
  <c r="T27" i="2"/>
  <c r="Y27" i="2" s="1"/>
  <c r="T26" i="2"/>
  <c r="Y26" i="2" s="1"/>
  <c r="T25" i="2"/>
  <c r="Y25" i="2" s="1"/>
  <c r="T22" i="2"/>
  <c r="Y22" i="2" s="1"/>
  <c r="T21" i="2"/>
  <c r="Y21" i="2" s="1"/>
  <c r="T20" i="2"/>
  <c r="Y20" i="2" s="1"/>
  <c r="Y19" i="2"/>
  <c r="AD19" i="2" s="1"/>
  <c r="T18" i="2"/>
  <c r="Y18" i="2" s="1"/>
  <c r="AD18" i="2" s="1"/>
  <c r="T17" i="2"/>
  <c r="Y17" i="2" s="1"/>
  <c r="T16" i="2"/>
  <c r="Y16" i="2" s="1"/>
  <c r="T15" i="2"/>
  <c r="T14" i="2"/>
  <c r="Y14" i="2" s="1"/>
  <c r="T13" i="2"/>
  <c r="Y13" i="2" s="1"/>
  <c r="T12" i="2"/>
  <c r="Y12" i="2" s="1"/>
  <c r="T11" i="2"/>
  <c r="Y11" i="2" s="1"/>
  <c r="AD11" i="2" s="1"/>
  <c r="T10" i="2"/>
  <c r="Y10" i="2" s="1"/>
  <c r="AD10" i="2" s="1"/>
  <c r="T9" i="2"/>
  <c r="Y9" i="2" s="1"/>
  <c r="T8" i="2"/>
  <c r="Y8" i="2" s="1"/>
  <c r="T7" i="2"/>
  <c r="T6" i="2"/>
  <c r="T5" i="2"/>
  <c r="Y5" i="2" s="1"/>
  <c r="S50" i="2"/>
  <c r="X50" i="2" s="1"/>
  <c r="AC50" i="2" s="1"/>
  <c r="AJ50" i="2" s="1"/>
  <c r="S49" i="2"/>
  <c r="X49" i="2" s="1"/>
  <c r="S48" i="2"/>
  <c r="X48" i="2" s="1"/>
  <c r="S47" i="2"/>
  <c r="S46" i="2"/>
  <c r="X46" i="2" s="1"/>
  <c r="S45" i="2"/>
  <c r="X45" i="2" s="1"/>
  <c r="S44" i="2"/>
  <c r="S43" i="2"/>
  <c r="X43" i="2" s="1"/>
  <c r="S42" i="2"/>
  <c r="X42" i="2" s="1"/>
  <c r="S41" i="2"/>
  <c r="X41" i="2" s="1"/>
  <c r="S40" i="2"/>
  <c r="S39" i="2"/>
  <c r="X39" i="2" s="1"/>
  <c r="AC39" i="2" s="1"/>
  <c r="S38" i="2"/>
  <c r="X38" i="2" s="1"/>
  <c r="S37" i="2"/>
  <c r="X37" i="2" s="1"/>
  <c r="S36" i="2"/>
  <c r="S35" i="2"/>
  <c r="S34" i="2"/>
  <c r="X34" i="2" s="1"/>
  <c r="S33" i="2"/>
  <c r="X33" i="2" s="1"/>
  <c r="S32" i="2"/>
  <c r="S31" i="2"/>
  <c r="X31" i="2" s="1"/>
  <c r="S30" i="2"/>
  <c r="X30" i="2" s="1"/>
  <c r="S29" i="2"/>
  <c r="S28" i="2"/>
  <c r="S27" i="2"/>
  <c r="X27" i="2" s="1"/>
  <c r="AC27" i="2" s="1"/>
  <c r="S26" i="2"/>
  <c r="X26" i="2" s="1"/>
  <c r="S25" i="2"/>
  <c r="X25" i="2" s="1"/>
  <c r="S22" i="2"/>
  <c r="X22" i="2" s="1"/>
  <c r="S21" i="2"/>
  <c r="S20" i="2"/>
  <c r="X20" i="2" s="1"/>
  <c r="S19" i="2"/>
  <c r="X19" i="2" s="1"/>
  <c r="S18" i="2"/>
  <c r="X18" i="2" s="1"/>
  <c r="S17" i="2"/>
  <c r="X17" i="2" s="1"/>
  <c r="S16" i="2"/>
  <c r="X16" i="2" s="1"/>
  <c r="S15" i="2"/>
  <c r="X15" i="2" s="1"/>
  <c r="S14" i="2"/>
  <c r="X14" i="2" s="1"/>
  <c r="S13" i="2"/>
  <c r="X13" i="2" s="1"/>
  <c r="S12" i="2"/>
  <c r="X12" i="2" s="1"/>
  <c r="S11" i="2"/>
  <c r="X11" i="2" s="1"/>
  <c r="S10" i="2"/>
  <c r="S9" i="2"/>
  <c r="X9" i="2" s="1"/>
  <c r="S8" i="2"/>
  <c r="X8" i="2" s="1"/>
  <c r="S7" i="2"/>
  <c r="S6" i="2"/>
  <c r="X6" i="2" s="1"/>
  <c r="S5" i="2"/>
  <c r="X5" i="2" s="1"/>
  <c r="R50" i="2"/>
  <c r="W50" i="2" s="1"/>
  <c r="AH50" i="2" s="1"/>
  <c r="R49" i="2"/>
  <c r="W49" i="2" s="1"/>
  <c r="AH49" i="2" s="1"/>
  <c r="R48" i="2"/>
  <c r="W48" i="2" s="1"/>
  <c r="R47" i="2"/>
  <c r="W47" i="2" s="1"/>
  <c r="AB47" i="2" s="1"/>
  <c r="R46" i="2"/>
  <c r="W46" i="2" s="1"/>
  <c r="AH46" i="2" s="1"/>
  <c r="R45" i="2"/>
  <c r="W45" i="2" s="1"/>
  <c r="R44" i="2"/>
  <c r="R43" i="2"/>
  <c r="W43" i="2" s="1"/>
  <c r="R42" i="2"/>
  <c r="W42" i="2" s="1"/>
  <c r="AH42" i="2" s="1"/>
  <c r="R41" i="2"/>
  <c r="W41" i="2" s="1"/>
  <c r="AH41" i="2" s="1"/>
  <c r="R40" i="2"/>
  <c r="W40" i="2" s="1"/>
  <c r="R39" i="2"/>
  <c r="W39" i="2" s="1"/>
  <c r="AB39" i="2" s="1"/>
  <c r="R38" i="2"/>
  <c r="W38" i="2" s="1"/>
  <c r="AL38" i="2" s="1"/>
  <c r="R37" i="2"/>
  <c r="W37" i="2" s="1"/>
  <c r="R36" i="2"/>
  <c r="W36" i="2" s="1"/>
  <c r="AB36" i="2" s="1"/>
  <c r="R35" i="2"/>
  <c r="W35" i="2" s="1"/>
  <c r="AH35" i="2" s="1"/>
  <c r="R34" i="2"/>
  <c r="R33" i="2"/>
  <c r="W33" i="2" s="1"/>
  <c r="AH33" i="2" s="1"/>
  <c r="R32" i="2"/>
  <c r="W32" i="2" s="1"/>
  <c r="AB32" i="2" s="1"/>
  <c r="R31" i="2"/>
  <c r="R30" i="2"/>
  <c r="W30" i="2" s="1"/>
  <c r="AH30" i="2" s="1"/>
  <c r="R29" i="2"/>
  <c r="W29" i="2" s="1"/>
  <c r="AB29" i="2" s="1"/>
  <c r="R28" i="2"/>
  <c r="W28" i="2" s="1"/>
  <c r="R27" i="2"/>
  <c r="W27" i="2" s="1"/>
  <c r="AH27" i="2" s="1"/>
  <c r="R26" i="2"/>
  <c r="R25" i="2"/>
  <c r="W25" i="2" s="1"/>
  <c r="AH25" i="2" s="1"/>
  <c r="R22" i="2"/>
  <c r="W22" i="2" s="1"/>
  <c r="AB22" i="2" s="1"/>
  <c r="R21" i="2"/>
  <c r="W21" i="2" s="1"/>
  <c r="AH21" i="2" s="1"/>
  <c r="R20" i="2"/>
  <c r="W20" i="2" s="1"/>
  <c r="R19" i="2"/>
  <c r="W19" i="2" s="1"/>
  <c r="AB19" i="2" s="1"/>
  <c r="R18" i="2"/>
  <c r="W18" i="2" s="1"/>
  <c r="AH18" i="2" s="1"/>
  <c r="R17" i="2"/>
  <c r="W17" i="2" s="1"/>
  <c r="AH17" i="2" s="1"/>
  <c r="R16" i="2"/>
  <c r="W16" i="2" s="1"/>
  <c r="AH16" i="2" s="1"/>
  <c r="R15" i="2"/>
  <c r="W15" i="2" s="1"/>
  <c r="R14" i="2"/>
  <c r="W14" i="2" s="1"/>
  <c r="AB14" i="2" s="1"/>
  <c r="R13" i="2"/>
  <c r="W13" i="2" s="1"/>
  <c r="AH13" i="2" s="1"/>
  <c r="R12" i="2"/>
  <c r="W12" i="2" s="1"/>
  <c r="AH12" i="2" s="1"/>
  <c r="R11" i="2"/>
  <c r="W11" i="2" s="1"/>
  <c r="AB11" i="2" s="1"/>
  <c r="R10" i="2"/>
  <c r="W10" i="2" s="1"/>
  <c r="AH10" i="2" s="1"/>
  <c r="R9" i="2"/>
  <c r="W9" i="2" s="1"/>
  <c r="AH9" i="2" s="1"/>
  <c r="R8" i="2"/>
  <c r="R7" i="2"/>
  <c r="W7" i="2" s="1"/>
  <c r="R6" i="2"/>
  <c r="W6" i="2" s="1"/>
  <c r="W5" i="2"/>
  <c r="AH5" i="2" s="1"/>
  <c r="F50" i="2"/>
  <c r="F49" i="2"/>
  <c r="F48" i="2"/>
  <c r="F47" i="2"/>
  <c r="F46" i="2"/>
  <c r="F45" i="2"/>
  <c r="F44" i="2"/>
  <c r="F43" i="2"/>
  <c r="F42" i="2"/>
  <c r="F41" i="2"/>
  <c r="F40" i="2"/>
  <c r="F39" i="2"/>
  <c r="F38" i="2"/>
  <c r="F37" i="2"/>
  <c r="F36" i="2"/>
  <c r="F35" i="2"/>
  <c r="F34" i="2"/>
  <c r="F33" i="2"/>
  <c r="F32" i="2"/>
  <c r="F31" i="2"/>
  <c r="F30" i="2"/>
  <c r="F29" i="2"/>
  <c r="F28" i="2"/>
  <c r="F27" i="2"/>
  <c r="F26" i="2"/>
  <c r="F25" i="2"/>
  <c r="E23" i="2"/>
  <c r="AM25" i="1"/>
  <c r="AN25" i="1" s="1"/>
  <c r="AM22" i="1"/>
  <c r="AN22" i="1" s="1"/>
  <c r="R50" i="1"/>
  <c r="R49" i="1"/>
  <c r="AD49" i="1" s="1"/>
  <c r="R48" i="1"/>
  <c r="AA48" i="1" s="1"/>
  <c r="R47" i="1"/>
  <c r="R46" i="1"/>
  <c r="AA46" i="1" s="1"/>
  <c r="R45" i="1"/>
  <c r="AD45" i="1" s="1"/>
  <c r="R44" i="1"/>
  <c r="AD44" i="1" s="1"/>
  <c r="R43" i="1"/>
  <c r="AD43" i="1" s="1"/>
  <c r="R42" i="1"/>
  <c r="R41" i="1"/>
  <c r="AD41" i="1" s="1"/>
  <c r="R40" i="1"/>
  <c r="AA40" i="1" s="1"/>
  <c r="R39" i="1"/>
  <c r="R38" i="1"/>
  <c r="AA38" i="1" s="1"/>
  <c r="R37" i="1"/>
  <c r="AA37" i="1" s="1"/>
  <c r="R36" i="1"/>
  <c r="AA36" i="1" s="1"/>
  <c r="R35" i="1"/>
  <c r="R34" i="1"/>
  <c r="AD34" i="1" s="1"/>
  <c r="R33" i="1"/>
  <c r="AA33" i="1" s="1"/>
  <c r="R32" i="1"/>
  <c r="R31" i="1"/>
  <c r="AA31" i="1" s="1"/>
  <c r="R30" i="1"/>
  <c r="AD30" i="1" s="1"/>
  <c r="R29" i="1"/>
  <c r="AA29" i="1" s="1"/>
  <c r="R28" i="1"/>
  <c r="AD28" i="1" s="1"/>
  <c r="R27" i="1"/>
  <c r="R26" i="1"/>
  <c r="AD26" i="1" s="1"/>
  <c r="R25" i="1"/>
  <c r="AA25" i="1" s="1"/>
  <c r="R22" i="1"/>
  <c r="R21" i="1"/>
  <c r="AA21" i="1" s="1"/>
  <c r="R20" i="1"/>
  <c r="AD20" i="1" s="1"/>
  <c r="R19" i="1"/>
  <c r="AD19" i="1" s="1"/>
  <c r="R18" i="1"/>
  <c r="AD18" i="1" s="1"/>
  <c r="R17" i="1"/>
  <c r="R16" i="1"/>
  <c r="AD16" i="1" s="1"/>
  <c r="R15" i="1"/>
  <c r="AA15" i="1" s="1"/>
  <c r="R14" i="1"/>
  <c r="R13" i="1"/>
  <c r="AA13" i="1" s="1"/>
  <c r="R12" i="1"/>
  <c r="AD12" i="1" s="1"/>
  <c r="R11" i="1"/>
  <c r="AD11" i="1" s="1"/>
  <c r="R10" i="1"/>
  <c r="AD10" i="1" s="1"/>
  <c r="R9" i="1"/>
  <c r="R8" i="1"/>
  <c r="AD8" i="1" s="1"/>
  <c r="R7" i="1"/>
  <c r="AA7" i="1" s="1"/>
  <c r="R6" i="1"/>
  <c r="R5" i="1"/>
  <c r="AA5" i="1" s="1"/>
  <c r="Y50" i="1"/>
  <c r="Y49" i="1"/>
  <c r="Y48" i="1"/>
  <c r="AB47" i="1"/>
  <c r="AB46" i="1"/>
  <c r="AB45" i="1"/>
  <c r="Y44" i="1"/>
  <c r="AB43" i="1"/>
  <c r="Y42" i="1"/>
  <c r="Y41" i="1"/>
  <c r="Y40" i="1"/>
  <c r="Y39" i="1"/>
  <c r="Y38" i="1"/>
  <c r="AB37" i="1"/>
  <c r="Y36" i="1"/>
  <c r="Y35" i="1"/>
  <c r="Y34" i="1"/>
  <c r="Y33" i="1"/>
  <c r="AB32" i="1"/>
  <c r="AB31" i="1"/>
  <c r="AB30" i="1"/>
  <c r="Y29" i="1"/>
  <c r="AB28" i="1"/>
  <c r="Y27" i="1"/>
  <c r="Y26" i="1"/>
  <c r="Y25" i="1"/>
  <c r="P22" i="1"/>
  <c r="Y22" i="1" s="1"/>
  <c r="P21" i="1"/>
  <c r="Y21" i="1" s="1"/>
  <c r="P20" i="1"/>
  <c r="AB20" i="1" s="1"/>
  <c r="P19" i="1"/>
  <c r="Y19" i="1" s="1"/>
  <c r="P18" i="1"/>
  <c r="AB18" i="1" s="1"/>
  <c r="P17" i="1"/>
  <c r="Y17" i="1" s="1"/>
  <c r="P16" i="1"/>
  <c r="Y16" i="1" s="1"/>
  <c r="P15" i="1"/>
  <c r="Y15" i="1" s="1"/>
  <c r="P14" i="1"/>
  <c r="AB14" i="1" s="1"/>
  <c r="P13" i="1"/>
  <c r="AB13" i="1" s="1"/>
  <c r="P12" i="1"/>
  <c r="AB12" i="1" s="1"/>
  <c r="P11" i="1"/>
  <c r="Y11" i="1" s="1"/>
  <c r="P10" i="1"/>
  <c r="AB10" i="1" s="1"/>
  <c r="P9" i="1"/>
  <c r="Y9" i="1" s="1"/>
  <c r="P8" i="1"/>
  <c r="Y8" i="1" s="1"/>
  <c r="P7" i="1"/>
  <c r="Y7" i="1" s="1"/>
  <c r="P6" i="1"/>
  <c r="Y6" i="1" s="1"/>
  <c r="P5" i="1"/>
  <c r="Y5" i="1" s="1"/>
  <c r="Q6" i="1"/>
  <c r="Z6" i="1" s="1"/>
  <c r="Q5" i="1"/>
  <c r="AC5" i="1" s="1"/>
  <c r="AM50" i="1"/>
  <c r="AN50" i="1" s="1"/>
  <c r="AM49" i="1"/>
  <c r="AN49" i="1" s="1"/>
  <c r="AM48" i="1"/>
  <c r="AN48" i="1" s="1"/>
  <c r="AM47" i="1"/>
  <c r="AM46" i="1"/>
  <c r="AM45" i="1"/>
  <c r="AM44" i="1"/>
  <c r="AN44" i="1" s="1"/>
  <c r="AM43" i="1"/>
  <c r="AM42" i="1"/>
  <c r="AN42" i="1" s="1"/>
  <c r="AM41" i="1"/>
  <c r="AN41" i="1" s="1"/>
  <c r="AM40" i="1"/>
  <c r="AN40" i="1" s="1"/>
  <c r="AM39" i="1"/>
  <c r="AM38" i="1"/>
  <c r="AM37" i="1"/>
  <c r="AM36" i="1"/>
  <c r="AN36" i="1" s="1"/>
  <c r="AM35" i="1"/>
  <c r="AM34" i="1"/>
  <c r="AN34" i="1" s="1"/>
  <c r="AM33" i="1"/>
  <c r="AN33" i="1" s="1"/>
  <c r="AM32" i="1"/>
  <c r="AN32" i="1" s="1"/>
  <c r="AM31" i="1"/>
  <c r="AM30" i="1"/>
  <c r="AM29" i="1"/>
  <c r="AM28" i="1"/>
  <c r="AN28" i="1" s="1"/>
  <c r="AM27" i="1"/>
  <c r="AM26" i="1"/>
  <c r="AN26" i="1" s="1"/>
  <c r="AM21" i="1"/>
  <c r="AN21" i="1" s="1"/>
  <c r="AM20" i="1"/>
  <c r="AN20" i="1" s="1"/>
  <c r="AM19" i="1"/>
  <c r="AM18" i="1"/>
  <c r="AM17" i="1"/>
  <c r="AM16" i="1"/>
  <c r="AN16" i="1" s="1"/>
  <c r="AM15" i="1"/>
  <c r="AM14" i="1"/>
  <c r="AN14" i="1" s="1"/>
  <c r="AM13" i="1"/>
  <c r="AN13" i="1" s="1"/>
  <c r="AM12" i="1"/>
  <c r="AN12" i="1" s="1"/>
  <c r="AM11" i="1"/>
  <c r="AM10" i="1"/>
  <c r="AM9" i="1"/>
  <c r="AM8" i="1"/>
  <c r="AN8" i="1" s="1"/>
  <c r="AM7" i="1"/>
  <c r="AM6" i="1"/>
  <c r="AN6" i="1" s="1"/>
  <c r="AM5" i="1"/>
  <c r="AN5" i="1" s="1"/>
  <c r="Q50" i="1"/>
  <c r="Z50" i="1" s="1"/>
  <c r="Q49" i="1"/>
  <c r="AC49" i="1" s="1"/>
  <c r="Q48" i="1"/>
  <c r="AC48" i="1" s="1"/>
  <c r="Q47" i="1"/>
  <c r="Z47" i="1" s="1"/>
  <c r="Q46" i="1"/>
  <c r="AC46" i="1" s="1"/>
  <c r="Q45" i="1"/>
  <c r="Q44" i="1"/>
  <c r="Z44" i="1" s="1"/>
  <c r="Q43" i="1"/>
  <c r="Z43" i="1" s="1"/>
  <c r="Q42" i="1"/>
  <c r="AC42" i="1" s="1"/>
  <c r="Q41" i="1"/>
  <c r="AC41" i="1" s="1"/>
  <c r="Q40" i="1"/>
  <c r="AC40" i="1" s="1"/>
  <c r="Q39" i="1"/>
  <c r="Q38" i="1"/>
  <c r="AC38" i="1" s="1"/>
  <c r="Q37" i="1"/>
  <c r="Q36" i="1"/>
  <c r="Z36" i="1" s="1"/>
  <c r="Q35" i="1"/>
  <c r="Z35" i="1" s="1"/>
  <c r="Q34" i="1"/>
  <c r="AC34" i="1" s="1"/>
  <c r="Q33" i="1"/>
  <c r="AC33" i="1" s="1"/>
  <c r="Q32" i="1"/>
  <c r="Z32" i="1" s="1"/>
  <c r="Q31" i="1"/>
  <c r="AC31" i="1" s="1"/>
  <c r="Q30" i="1"/>
  <c r="Q29" i="1"/>
  <c r="Z29" i="1" s="1"/>
  <c r="Q28" i="1"/>
  <c r="Z28" i="1" s="1"/>
  <c r="Q27" i="1"/>
  <c r="AC27" i="1" s="1"/>
  <c r="Q26" i="1"/>
  <c r="Z26" i="1" s="1"/>
  <c r="Q25" i="1"/>
  <c r="AC25" i="1" s="1"/>
  <c r="Q22" i="1"/>
  <c r="Z22" i="1" s="1"/>
  <c r="Q21" i="1"/>
  <c r="AC21" i="1" s="1"/>
  <c r="Q20" i="1"/>
  <c r="Q19" i="1"/>
  <c r="Z19" i="1" s="1"/>
  <c r="Q18" i="1"/>
  <c r="Z18" i="1" s="1"/>
  <c r="Q17" i="1"/>
  <c r="Z17" i="1" s="1"/>
  <c r="Q16" i="1"/>
  <c r="AC16" i="1" s="1"/>
  <c r="Q15" i="1"/>
  <c r="AC15" i="1" s="1"/>
  <c r="Q14" i="1"/>
  <c r="Z14" i="1" s="1"/>
  <c r="Q13" i="1"/>
  <c r="AC13" i="1" s="1"/>
  <c r="Q12" i="1"/>
  <c r="Q11" i="1"/>
  <c r="Z11" i="1" s="1"/>
  <c r="Q10" i="1"/>
  <c r="Z10" i="1" s="1"/>
  <c r="Q9" i="1"/>
  <c r="AC9" i="1" s="1"/>
  <c r="Q8" i="1"/>
  <c r="Z8" i="1" s="1"/>
  <c r="Q7" i="1"/>
  <c r="AC7" i="1" s="1"/>
  <c r="F25" i="1"/>
  <c r="F38" i="1"/>
  <c r="F37" i="1"/>
  <c r="F50" i="1"/>
  <c r="F49" i="1"/>
  <c r="F48" i="1"/>
  <c r="F47" i="1"/>
  <c r="F46" i="1"/>
  <c r="F45" i="1"/>
  <c r="F44" i="1"/>
  <c r="F43" i="1"/>
  <c r="F42" i="1"/>
  <c r="F41" i="1"/>
  <c r="F40" i="1"/>
  <c r="F39" i="1"/>
  <c r="F36" i="1"/>
  <c r="F35" i="1"/>
  <c r="F34" i="1"/>
  <c r="F33" i="1"/>
  <c r="F32" i="1"/>
  <c r="F31" i="1"/>
  <c r="F30" i="1"/>
  <c r="F29" i="1"/>
  <c r="F28" i="1"/>
  <c r="F27" i="1"/>
  <c r="F26" i="1"/>
  <c r="AG18" i="13" l="1"/>
  <c r="AG20" i="13"/>
  <c r="AG45" i="13"/>
  <c r="AG12" i="13"/>
  <c r="AG37" i="13"/>
  <c r="AS7" i="6"/>
  <c r="AT7" i="6" s="1"/>
  <c r="AS5" i="6"/>
  <c r="AT5" i="6" s="1"/>
  <c r="AD30" i="13"/>
  <c r="AA35" i="13"/>
  <c r="AH35" i="13" s="1"/>
  <c r="AM35" i="13" s="1"/>
  <c r="AG46" i="13"/>
  <c r="AB49" i="13"/>
  <c r="AR6" i="18"/>
  <c r="AS6" i="18" s="1"/>
  <c r="AR17" i="18"/>
  <c r="AS17" i="18" s="1"/>
  <c r="X31" i="18"/>
  <c r="AR42" i="18"/>
  <c r="AS42" i="18" s="1"/>
  <c r="AR47" i="18"/>
  <c r="AS47" i="18" s="1"/>
  <c r="X19" i="13"/>
  <c r="AC19" i="13" s="1"/>
  <c r="L23" i="2"/>
  <c r="AR13" i="18"/>
  <c r="AS13" i="18" s="1"/>
  <c r="X47" i="18"/>
  <c r="AR9" i="18"/>
  <c r="AS9" i="18" s="1"/>
  <c r="AR26" i="18"/>
  <c r="AS26" i="18" s="1"/>
  <c r="AT26" i="18" s="1"/>
  <c r="BZ32" i="10"/>
  <c r="CA32" i="10" s="1"/>
  <c r="CB32" i="10"/>
  <c r="BZ29" i="10"/>
  <c r="CA29" i="10" s="1"/>
  <c r="CB29" i="10" s="1"/>
  <c r="BW37" i="10"/>
  <c r="BX37" i="10" s="1"/>
  <c r="BW49" i="10"/>
  <c r="BX49" i="10" s="1"/>
  <c r="AS21" i="6"/>
  <c r="AT21" i="6" s="1"/>
  <c r="AU21" i="6" s="1"/>
  <c r="AX8" i="9"/>
  <c r="AY8" i="9" s="1"/>
  <c r="R25" i="6"/>
  <c r="AN49" i="6"/>
  <c r="AO49" i="6" s="1"/>
  <c r="BW6" i="10"/>
  <c r="BX6" i="10" s="1"/>
  <c r="BZ33" i="10"/>
  <c r="CA33" i="10" s="1"/>
  <c r="CB33" i="10"/>
  <c r="BW48" i="10"/>
  <c r="BX48" i="10" s="1"/>
  <c r="BY48" i="10"/>
  <c r="BZ34" i="10"/>
  <c r="CA34" i="10" s="1"/>
  <c r="BW26" i="10"/>
  <c r="BX26" i="10" s="1"/>
  <c r="AM8" i="9"/>
  <c r="AX16" i="9"/>
  <c r="AY16" i="9" s="1"/>
  <c r="Y25" i="6"/>
  <c r="S25" i="6"/>
  <c r="S25" i="9"/>
  <c r="BW14" i="10"/>
  <c r="BX14" i="10" s="1"/>
  <c r="BY14" i="10"/>
  <c r="BW9" i="10"/>
  <c r="BX9" i="10" s="1"/>
  <c r="BW31" i="10"/>
  <c r="BX31" i="10" s="1"/>
  <c r="BW35" i="10"/>
  <c r="BX35" i="10" s="1"/>
  <c r="BW43" i="10"/>
  <c r="BX43" i="10" s="1"/>
  <c r="AM16" i="9"/>
  <c r="AS46" i="9"/>
  <c r="AT46" i="9" s="1"/>
  <c r="AN12" i="6"/>
  <c r="AO12" i="6" s="1"/>
  <c r="AN13" i="6"/>
  <c r="AO13" i="6" s="1"/>
  <c r="AP13" i="6" s="1"/>
  <c r="AN14" i="6"/>
  <c r="AO14" i="6" s="1"/>
  <c r="AN20" i="6"/>
  <c r="AO20" i="6" s="1"/>
  <c r="AX7" i="8"/>
  <c r="AY7" i="8" s="1"/>
  <c r="AZ7" i="8" s="1"/>
  <c r="BZ14" i="10"/>
  <c r="CA14" i="10" s="1"/>
  <c r="CB14" i="10"/>
  <c r="BZ22" i="10"/>
  <c r="CA22" i="10" s="1"/>
  <c r="AN26" i="9"/>
  <c r="AO26" i="9" s="1"/>
  <c r="AX38" i="9"/>
  <c r="AY38" i="9" s="1"/>
  <c r="AZ38" i="9" s="1"/>
  <c r="AC13" i="13"/>
  <c r="AC35" i="13"/>
  <c r="Y40" i="13"/>
  <c r="AD40" i="13" s="1"/>
  <c r="AK40" i="13" s="1"/>
  <c r="AP40" i="13" s="1"/>
  <c r="AR8" i="18"/>
  <c r="AS8" i="18" s="1"/>
  <c r="AT8" i="18" s="1"/>
  <c r="AR12" i="18"/>
  <c r="AS12" i="18" s="1"/>
  <c r="AT12" i="18" s="1"/>
  <c r="AR16" i="18"/>
  <c r="AS16" i="18" s="1"/>
  <c r="AR20" i="18"/>
  <c r="AS20" i="18" s="1"/>
  <c r="X26" i="18"/>
  <c r="AL42" i="18"/>
  <c r="AM38" i="9"/>
  <c r="AM46" i="9"/>
  <c r="X8" i="13"/>
  <c r="AC8" i="13" s="1"/>
  <c r="AJ8" i="13" s="1"/>
  <c r="AO8" i="13" s="1"/>
  <c r="AC9" i="13"/>
  <c r="AC12" i="13"/>
  <c r="AD13" i="13"/>
  <c r="AC29" i="13"/>
  <c r="AC38" i="13"/>
  <c r="AJ38" i="13" s="1"/>
  <c r="AO38" i="13" s="1"/>
  <c r="AD41" i="13"/>
  <c r="AA43" i="13"/>
  <c r="AR37" i="16"/>
  <c r="AS37" i="16" s="1"/>
  <c r="AT37" i="16" s="1"/>
  <c r="AR11" i="18"/>
  <c r="AS11" i="18" s="1"/>
  <c r="AT11" i="18" s="1"/>
  <c r="AR15" i="18"/>
  <c r="AS15" i="18" s="1"/>
  <c r="AR19" i="18"/>
  <c r="AS19" i="18" s="1"/>
  <c r="AT19" i="18" s="1"/>
  <c r="AR25" i="18"/>
  <c r="AS25" i="18" s="1"/>
  <c r="AR27" i="18"/>
  <c r="AS27" i="18" s="1"/>
  <c r="AT27" i="18" s="1"/>
  <c r="Y8" i="13"/>
  <c r="AD8" i="13" s="1"/>
  <c r="AK8" i="13" s="1"/>
  <c r="AP8" i="13" s="1"/>
  <c r="AD12" i="13"/>
  <c r="AK12" i="13" s="1"/>
  <c r="AP12" i="13" s="1"/>
  <c r="AR7" i="18"/>
  <c r="AS7" i="18" s="1"/>
  <c r="AT7" i="18" s="1"/>
  <c r="AR10" i="18"/>
  <c r="AS10" i="18" s="1"/>
  <c r="AR14" i="18"/>
  <c r="AS14" i="18" s="1"/>
  <c r="AR18" i="18"/>
  <c r="AS18" i="18" s="1"/>
  <c r="AR22" i="18"/>
  <c r="AS22" i="18" s="1"/>
  <c r="AT22" i="18" s="1"/>
  <c r="AR34" i="18"/>
  <c r="AS34" i="18" s="1"/>
  <c r="AR38" i="18"/>
  <c r="AS38" i="18" s="1"/>
  <c r="AR39" i="18"/>
  <c r="AS39" i="18" s="1"/>
  <c r="AT39" i="18" s="1"/>
  <c r="AT34" i="18"/>
  <c r="AA33" i="18"/>
  <c r="X34" i="18"/>
  <c r="X37" i="18"/>
  <c r="X39" i="18"/>
  <c r="R25" i="18"/>
  <c r="AT47" i="18"/>
  <c r="X49" i="18"/>
  <c r="AA50" i="18"/>
  <c r="AR50" i="18" s="1"/>
  <c r="AS50" i="18" s="1"/>
  <c r="AT50" i="18" s="1"/>
  <c r="X27" i="18"/>
  <c r="X38" i="18"/>
  <c r="X41" i="18"/>
  <c r="X45" i="18"/>
  <c r="AA46" i="18"/>
  <c r="X14" i="18"/>
  <c r="X18" i="18"/>
  <c r="AA5" i="18"/>
  <c r="AR5" i="18" s="1"/>
  <c r="AS5" i="18" s="1"/>
  <c r="AU5" i="18" s="1"/>
  <c r="X22" i="18"/>
  <c r="X9" i="18"/>
  <c r="X10" i="18"/>
  <c r="AD25" i="18"/>
  <c r="AG25" i="18"/>
  <c r="AL6" i="18"/>
  <c r="AT6" i="18" s="1"/>
  <c r="X7" i="18"/>
  <c r="AT9" i="18"/>
  <c r="X11" i="18"/>
  <c r="AT13" i="18"/>
  <c r="X15" i="18"/>
  <c r="AT17" i="18"/>
  <c r="X19" i="18"/>
  <c r="AT21" i="18"/>
  <c r="AR33" i="18"/>
  <c r="AS33" i="18" s="1"/>
  <c r="AL33" i="18"/>
  <c r="AA36" i="18"/>
  <c r="AR36" i="18" s="1"/>
  <c r="AS36" i="18" s="1"/>
  <c r="X36" i="18"/>
  <c r="AT42" i="18"/>
  <c r="AR46" i="18"/>
  <c r="AS46" i="18" s="1"/>
  <c r="AT46" i="18" s="1"/>
  <c r="AR49" i="18"/>
  <c r="AS49" i="18" s="1"/>
  <c r="AL49" i="18"/>
  <c r="AT25" i="18"/>
  <c r="AT31" i="18"/>
  <c r="R5" i="18"/>
  <c r="X8" i="18"/>
  <c r="AT10" i="18"/>
  <c r="X12" i="18"/>
  <c r="AT14" i="18"/>
  <c r="X16" i="18"/>
  <c r="AT18" i="18"/>
  <c r="X20" i="18"/>
  <c r="AA28" i="18"/>
  <c r="X28" i="18"/>
  <c r="AT30" i="18"/>
  <c r="AT35" i="18"/>
  <c r="AA44" i="18"/>
  <c r="AR44" i="18" s="1"/>
  <c r="AS44" i="18" s="1"/>
  <c r="X44" i="18"/>
  <c r="AT16" i="18"/>
  <c r="AT20" i="18"/>
  <c r="AR29" i="18"/>
  <c r="AS29" i="18" s="1"/>
  <c r="AL29" i="18"/>
  <c r="AR37" i="18"/>
  <c r="AS37" i="18" s="1"/>
  <c r="AL37" i="18"/>
  <c r="AA40" i="18"/>
  <c r="X40" i="18"/>
  <c r="AR45" i="18"/>
  <c r="AS45" i="18" s="1"/>
  <c r="AL45" i="18"/>
  <c r="X6" i="18"/>
  <c r="X13" i="18"/>
  <c r="AT15" i="18"/>
  <c r="X17" i="18"/>
  <c r="X21" i="18"/>
  <c r="AA32" i="18"/>
  <c r="AR32" i="18" s="1"/>
  <c r="AS32" i="18" s="1"/>
  <c r="AT32" i="18" s="1"/>
  <c r="X32" i="18"/>
  <c r="AT38" i="18"/>
  <c r="AR41" i="18"/>
  <c r="AS41" i="18" s="1"/>
  <c r="AL41" i="18"/>
  <c r="AT43" i="18"/>
  <c r="AA48" i="18"/>
  <c r="AR48" i="18" s="1"/>
  <c r="AS48" i="18" s="1"/>
  <c r="X48" i="18"/>
  <c r="X25" i="18"/>
  <c r="X39" i="16"/>
  <c r="X29" i="16"/>
  <c r="AR47" i="16"/>
  <c r="AS47" i="16" s="1"/>
  <c r="AT47" i="16" s="1"/>
  <c r="AR29" i="16"/>
  <c r="AS29" i="16" s="1"/>
  <c r="AT29" i="16" s="1"/>
  <c r="X5" i="16"/>
  <c r="X12" i="16"/>
  <c r="X45" i="16"/>
  <c r="X14" i="16"/>
  <c r="AR33" i="16"/>
  <c r="AS33" i="16" s="1"/>
  <c r="AT33" i="16" s="1"/>
  <c r="X47" i="16"/>
  <c r="X15" i="16"/>
  <c r="X22" i="16"/>
  <c r="AR31" i="16"/>
  <c r="AS31" i="16" s="1"/>
  <c r="AT31" i="16" s="1"/>
  <c r="AR5" i="16"/>
  <c r="AS5" i="16" s="1"/>
  <c r="AR6" i="16"/>
  <c r="AS6" i="16" s="1"/>
  <c r="AT6" i="16" s="1"/>
  <c r="AR13" i="16"/>
  <c r="AS13" i="16" s="1"/>
  <c r="AA36" i="16"/>
  <c r="AR36" i="16" s="1"/>
  <c r="AS36" i="16" s="1"/>
  <c r="AL5" i="16"/>
  <c r="AT5" i="16" s="1"/>
  <c r="AL13" i="16"/>
  <c r="AA28" i="16"/>
  <c r="AA32" i="16"/>
  <c r="AR32" i="16" s="1"/>
  <c r="AS32" i="16" s="1"/>
  <c r="AL35" i="16"/>
  <c r="AR43" i="16"/>
  <c r="AS43" i="16" s="1"/>
  <c r="AT43" i="16" s="1"/>
  <c r="AR49" i="16"/>
  <c r="AS49" i="16" s="1"/>
  <c r="AT49" i="16" s="1"/>
  <c r="X8" i="16"/>
  <c r="AL9" i="16"/>
  <c r="X13" i="16"/>
  <c r="X19" i="16"/>
  <c r="X31" i="16"/>
  <c r="X35" i="16"/>
  <c r="X37" i="16"/>
  <c r="AA46" i="16"/>
  <c r="AR46" i="16" s="1"/>
  <c r="AS46" i="16" s="1"/>
  <c r="X9" i="16"/>
  <c r="AR10" i="16"/>
  <c r="AS10" i="16" s="1"/>
  <c r="AT10" i="16" s="1"/>
  <c r="X18" i="16"/>
  <c r="AR28" i="16"/>
  <c r="AS28" i="16" s="1"/>
  <c r="X33" i="16"/>
  <c r="AA40" i="16"/>
  <c r="AR40" i="16" s="1"/>
  <c r="AS40" i="16" s="1"/>
  <c r="AR41" i="16"/>
  <c r="AS41" i="16" s="1"/>
  <c r="AT41" i="16" s="1"/>
  <c r="X43" i="16"/>
  <c r="X49" i="16"/>
  <c r="AR9" i="16"/>
  <c r="AS9" i="16" s="1"/>
  <c r="AT9" i="16" s="1"/>
  <c r="AR14" i="16"/>
  <c r="AS14" i="16" s="1"/>
  <c r="AL14" i="16"/>
  <c r="AR18" i="16"/>
  <c r="AS18" i="16" s="1"/>
  <c r="AL18" i="16"/>
  <c r="AR22" i="16"/>
  <c r="AS22" i="16" s="1"/>
  <c r="AL22" i="16"/>
  <c r="AR8" i="16"/>
  <c r="AS8" i="16" s="1"/>
  <c r="AR12" i="16"/>
  <c r="AS12" i="16" s="1"/>
  <c r="AR17" i="16"/>
  <c r="AS17" i="16" s="1"/>
  <c r="AL17" i="16"/>
  <c r="AR21" i="16"/>
  <c r="AS21" i="16" s="1"/>
  <c r="AL21" i="16"/>
  <c r="R5" i="16"/>
  <c r="R6" i="16" s="1"/>
  <c r="X7" i="16"/>
  <c r="AR7" i="16"/>
  <c r="AS7" i="16" s="1"/>
  <c r="AL8" i="16"/>
  <c r="X11" i="16"/>
  <c r="AR11" i="16"/>
  <c r="AS11" i="16" s="1"/>
  <c r="AT11" i="16" s="1"/>
  <c r="AL12" i="16"/>
  <c r="AR16" i="16"/>
  <c r="AS16" i="16" s="1"/>
  <c r="AL16" i="16"/>
  <c r="X17" i="16"/>
  <c r="AR20" i="16"/>
  <c r="AS20" i="16" s="1"/>
  <c r="AL20" i="16"/>
  <c r="X21" i="16"/>
  <c r="X25" i="16"/>
  <c r="AA25" i="16"/>
  <c r="AR25" i="16" s="1"/>
  <c r="AS25" i="16" s="1"/>
  <c r="R25" i="16"/>
  <c r="R26" i="16" s="1"/>
  <c r="AR27" i="16"/>
  <c r="AS27" i="16" s="1"/>
  <c r="X6" i="16"/>
  <c r="X10" i="16"/>
  <c r="AR15" i="16"/>
  <c r="AS15" i="16" s="1"/>
  <c r="AL15" i="16"/>
  <c r="X16" i="16"/>
  <c r="AR19" i="16"/>
  <c r="AS19" i="16" s="1"/>
  <c r="AL19" i="16"/>
  <c r="X20" i="16"/>
  <c r="X27" i="16"/>
  <c r="AR35" i="16"/>
  <c r="AS35" i="16" s="1"/>
  <c r="AL26" i="16"/>
  <c r="AA26" i="16"/>
  <c r="AR26" i="16" s="1"/>
  <c r="AS26" i="16" s="1"/>
  <c r="AL27" i="16"/>
  <c r="X30" i="16"/>
  <c r="AA30" i="16"/>
  <c r="AR30" i="16" s="1"/>
  <c r="AS30" i="16" s="1"/>
  <c r="AL30" i="16"/>
  <c r="AL28" i="16"/>
  <c r="AR39" i="16"/>
  <c r="AS39" i="16" s="1"/>
  <c r="AT39" i="16" s="1"/>
  <c r="AR45" i="16"/>
  <c r="AS45" i="16" s="1"/>
  <c r="AT45" i="16" s="1"/>
  <c r="AA34" i="16"/>
  <c r="AR34" i="16" s="1"/>
  <c r="AS34" i="16" s="1"/>
  <c r="AA38" i="16"/>
  <c r="AR38" i="16" s="1"/>
  <c r="AS38" i="16" s="1"/>
  <c r="AA42" i="16"/>
  <c r="AR42" i="16" s="1"/>
  <c r="AS42" i="16" s="1"/>
  <c r="AA50" i="16"/>
  <c r="AR50" i="16" s="1"/>
  <c r="AS50" i="16" s="1"/>
  <c r="AL32" i="16"/>
  <c r="AL36" i="16"/>
  <c r="AL40" i="16"/>
  <c r="AL44" i="16"/>
  <c r="AL48" i="16"/>
  <c r="AA44" i="16"/>
  <c r="AR44" i="16" s="1"/>
  <c r="AS44" i="16" s="1"/>
  <c r="AA48" i="16"/>
  <c r="AR48" i="16" s="1"/>
  <c r="AS48" i="16" s="1"/>
  <c r="AL34" i="16"/>
  <c r="AL38" i="16"/>
  <c r="AL42" i="16"/>
  <c r="AL46" i="16"/>
  <c r="AL50" i="16"/>
  <c r="S25" i="1"/>
  <c r="T25" i="1"/>
  <c r="U25" i="1"/>
  <c r="AH6" i="2"/>
  <c r="AH45" i="2"/>
  <c r="Z25" i="6"/>
  <c r="T25" i="6"/>
  <c r="Y25" i="8"/>
  <c r="S25" i="8"/>
  <c r="AC25" i="9"/>
  <c r="R25" i="9"/>
  <c r="AC25" i="8"/>
  <c r="T25" i="8"/>
  <c r="AX31" i="9"/>
  <c r="AY31" i="9" s="1"/>
  <c r="AZ31" i="9" s="1"/>
  <c r="AD17" i="13"/>
  <c r="AD22" i="13"/>
  <c r="AK22" i="13" s="1"/>
  <c r="AP22" i="13" s="1"/>
  <c r="AD26" i="13"/>
  <c r="AC39" i="13"/>
  <c r="AS11" i="6"/>
  <c r="AT11" i="6" s="1"/>
  <c r="AU11" i="6" s="1"/>
  <c r="AD14" i="13"/>
  <c r="T51" i="13"/>
  <c r="AD39" i="13"/>
  <c r="AK39" i="13" s="1"/>
  <c r="AP39" i="13" s="1"/>
  <c r="AP15" i="9"/>
  <c r="AS35" i="8"/>
  <c r="AT35" i="8" s="1"/>
  <c r="AU35" i="8" s="1"/>
  <c r="AN6" i="9"/>
  <c r="AO6" i="9" s="1"/>
  <c r="AN30" i="9"/>
  <c r="AO30" i="9" s="1"/>
  <c r="AP30" i="9" s="1"/>
  <c r="AX36" i="9"/>
  <c r="AY36" i="9" s="1"/>
  <c r="AZ36" i="9" s="1"/>
  <c r="AD9" i="13"/>
  <c r="AC34" i="13"/>
  <c r="AJ34" i="13" s="1"/>
  <c r="AO34" i="13" s="1"/>
  <c r="AD35" i="13"/>
  <c r="AK35" i="13" s="1"/>
  <c r="AP35" i="13" s="1"/>
  <c r="AC46" i="13"/>
  <c r="AJ46" i="13" s="1"/>
  <c r="AO46" i="13" s="1"/>
  <c r="AD47" i="13"/>
  <c r="AD49" i="13"/>
  <c r="AN10" i="9"/>
  <c r="AO10" i="9" s="1"/>
  <c r="AP10" i="9" s="1"/>
  <c r="R25" i="8"/>
  <c r="AD25" i="8" s="1"/>
  <c r="AN21" i="6"/>
  <c r="AO21" i="6" s="1"/>
  <c r="AP21" i="6" s="1"/>
  <c r="AN31" i="6"/>
  <c r="AO31" i="6" s="1"/>
  <c r="AX7" i="9"/>
  <c r="AY7" i="9" s="1"/>
  <c r="AM10" i="9"/>
  <c r="AC32" i="13"/>
  <c r="AC33" i="13"/>
  <c r="AJ33" i="13" s="1"/>
  <c r="AM7" i="9"/>
  <c r="AS33" i="9"/>
  <c r="AT33" i="9" s="1"/>
  <c r="AM48" i="9"/>
  <c r="R23" i="2"/>
  <c r="X15" i="13"/>
  <c r="AC15" i="13" s="1"/>
  <c r="AJ15" i="13" s="1"/>
  <c r="AD18" i="13"/>
  <c r="AK18" i="13" s="1"/>
  <c r="AP18" i="13" s="1"/>
  <c r="Y19" i="13"/>
  <c r="AD19" i="13" s="1"/>
  <c r="AC22" i="13"/>
  <c r="AJ22" i="13" s="1"/>
  <c r="AO22" i="13" s="1"/>
  <c r="Y34" i="13"/>
  <c r="AD34" i="13" s="1"/>
  <c r="AK34" i="13" s="1"/>
  <c r="AP34" i="13" s="1"/>
  <c r="Y36" i="13"/>
  <c r="AD36" i="13" s="1"/>
  <c r="AK36" i="13" s="1"/>
  <c r="AP36" i="13" s="1"/>
  <c r="X41" i="13"/>
  <c r="AC41" i="13" s="1"/>
  <c r="AJ41" i="13" s="1"/>
  <c r="AO41" i="13" s="1"/>
  <c r="Y42" i="13"/>
  <c r="AD42" i="13" s="1"/>
  <c r="AK42" i="13" s="1"/>
  <c r="U23" i="2"/>
  <c r="AH40" i="2"/>
  <c r="AH48" i="2"/>
  <c r="T23" i="2"/>
  <c r="R51" i="2"/>
  <c r="S51" i="2"/>
  <c r="T51" i="2"/>
  <c r="U51" i="2"/>
  <c r="S23" i="2"/>
  <c r="AG47" i="13"/>
  <c r="AG48" i="13"/>
  <c r="AM48" i="13" s="1"/>
  <c r="AG49" i="13"/>
  <c r="AG50" i="13"/>
  <c r="AG41" i="13"/>
  <c r="AH43" i="13"/>
  <c r="AM43" i="13" s="1"/>
  <c r="AG27" i="13"/>
  <c r="AG31" i="13"/>
  <c r="AG14" i="13"/>
  <c r="AG7" i="13"/>
  <c r="AH43" i="2"/>
  <c r="AH28" i="2"/>
  <c r="AH7" i="2"/>
  <c r="AH15" i="2"/>
  <c r="W27" i="13"/>
  <c r="AB27" i="13" s="1"/>
  <c r="AI27" i="13" s="1"/>
  <c r="W34" i="13"/>
  <c r="AB34" i="13" s="1"/>
  <c r="AI34" i="13" s="1"/>
  <c r="AN34" i="13" s="1"/>
  <c r="AB29" i="13"/>
  <c r="AB45" i="13"/>
  <c r="AI45" i="13" s="1"/>
  <c r="AN45" i="13" s="1"/>
  <c r="W40" i="13"/>
  <c r="AB40" i="13" s="1"/>
  <c r="AI40" i="13" s="1"/>
  <c r="AN40" i="13" s="1"/>
  <c r="AB17" i="13"/>
  <c r="W21" i="13"/>
  <c r="AB21" i="13" s="1"/>
  <c r="AB12" i="13"/>
  <c r="AI12" i="13" s="1"/>
  <c r="AN12" i="13" s="1"/>
  <c r="AB15" i="13"/>
  <c r="AB11" i="13"/>
  <c r="W18" i="13"/>
  <c r="AB18" i="13" s="1"/>
  <c r="AI18" i="13" s="1"/>
  <c r="AN18" i="13" s="1"/>
  <c r="AB19" i="13"/>
  <c r="AI19" i="13" s="1"/>
  <c r="AB22" i="13"/>
  <c r="AI22" i="13" s="1"/>
  <c r="AN22" i="13" s="1"/>
  <c r="AB8" i="13"/>
  <c r="AI8" i="13" s="1"/>
  <c r="AN8" i="13" s="1"/>
  <c r="AB7" i="13"/>
  <c r="AI7" i="13" s="1"/>
  <c r="R23" i="13"/>
  <c r="AB5" i="13"/>
  <c r="AA27" i="13"/>
  <c r="AH27" i="13" s="1"/>
  <c r="AA26" i="13"/>
  <c r="AH26" i="13" s="1"/>
  <c r="AM26" i="13" s="1"/>
  <c r="V42" i="13"/>
  <c r="AG42" i="13" s="1"/>
  <c r="AA36" i="13"/>
  <c r="AH36" i="13" s="1"/>
  <c r="AM36" i="13" s="1"/>
  <c r="AA34" i="13"/>
  <c r="AK41" i="13"/>
  <c r="AJ35" i="13"/>
  <c r="AO35" i="13" s="1"/>
  <c r="AA49" i="13"/>
  <c r="AA16" i="13"/>
  <c r="AH16" i="13" s="1"/>
  <c r="AG16" i="13"/>
  <c r="Q23" i="13"/>
  <c r="AA8" i="13"/>
  <c r="AH8" i="13" s="1"/>
  <c r="AM8" i="13" s="1"/>
  <c r="AA12" i="13"/>
  <c r="AA7" i="13"/>
  <c r="AH7" i="13" s="1"/>
  <c r="AA11" i="13"/>
  <c r="AA18" i="13"/>
  <c r="AA20" i="13"/>
  <c r="AH20" i="13" s="1"/>
  <c r="AM20" i="13" s="1"/>
  <c r="AA22" i="13"/>
  <c r="AH22" i="13" s="1"/>
  <c r="AA14" i="13"/>
  <c r="AH14" i="13" s="1"/>
  <c r="AI20" i="13"/>
  <c r="AN20" i="13" s="1"/>
  <c r="AK27" i="13"/>
  <c r="AI35" i="13"/>
  <c r="AN35" i="13" s="1"/>
  <c r="AJ27" i="13"/>
  <c r="AJ20" i="13"/>
  <c r="AO20" i="13" s="1"/>
  <c r="AI36" i="13"/>
  <c r="AN36" i="13" s="1"/>
  <c r="AH11" i="13"/>
  <c r="AM11" i="13" s="1"/>
  <c r="AJ12" i="13"/>
  <c r="AO12" i="13" s="1"/>
  <c r="AH18" i="13"/>
  <c r="AM18" i="13" s="1"/>
  <c r="AA19" i="13"/>
  <c r="AJ40" i="13"/>
  <c r="AO40" i="13" s="1"/>
  <c r="AI16" i="13"/>
  <c r="AI11" i="13"/>
  <c r="AN11" i="13" s="1"/>
  <c r="AI31" i="13"/>
  <c r="AJ36" i="13"/>
  <c r="AO36" i="13" s="1"/>
  <c r="AA15" i="13"/>
  <c r="AH34" i="13"/>
  <c r="AM34" i="13" s="1"/>
  <c r="X5" i="13"/>
  <c r="V6" i="13"/>
  <c r="AG6" i="13" s="1"/>
  <c r="X7" i="13"/>
  <c r="AC7" i="13" s="1"/>
  <c r="V10" i="13"/>
  <c r="AG10" i="13" s="1"/>
  <c r="X11" i="13"/>
  <c r="AC11" i="13" s="1"/>
  <c r="W14" i="13"/>
  <c r="AB14" i="13" s="1"/>
  <c r="X16" i="13"/>
  <c r="AC16" i="13" s="1"/>
  <c r="X18" i="13"/>
  <c r="AC18" i="13" s="1"/>
  <c r="S23" i="13"/>
  <c r="AC25" i="13"/>
  <c r="AD25" i="13"/>
  <c r="W26" i="13"/>
  <c r="AB26" i="13" s="1"/>
  <c r="V28" i="13"/>
  <c r="AG28" i="13" s="1"/>
  <c r="X31" i="13"/>
  <c r="AC31" i="13" s="1"/>
  <c r="AB32" i="13"/>
  <c r="V33" i="13"/>
  <c r="AG33" i="13" s="1"/>
  <c r="AC37" i="13"/>
  <c r="W39" i="13"/>
  <c r="AB39" i="13" s="1"/>
  <c r="X44" i="13"/>
  <c r="AC44" i="13" s="1"/>
  <c r="AC49" i="13"/>
  <c r="AA50" i="13"/>
  <c r="Q51" i="13"/>
  <c r="Y5" i="13"/>
  <c r="W6" i="13"/>
  <c r="AB6" i="13" s="1"/>
  <c r="Y7" i="13"/>
  <c r="AD7" i="13" s="1"/>
  <c r="W10" i="13"/>
  <c r="AB10" i="13" s="1"/>
  <c r="Y11" i="13"/>
  <c r="AD11" i="13" s="1"/>
  <c r="X14" i="13"/>
  <c r="AC14" i="13" s="1"/>
  <c r="V21" i="13"/>
  <c r="AG21" i="13" s="1"/>
  <c r="T23" i="13"/>
  <c r="X26" i="13"/>
  <c r="AC26" i="13" s="1"/>
  <c r="V30" i="13"/>
  <c r="Y31" i="13"/>
  <c r="AD31" i="13" s="1"/>
  <c r="W33" i="13"/>
  <c r="AB33" i="13" s="1"/>
  <c r="AA37" i="13"/>
  <c r="AD37" i="13"/>
  <c r="AA38" i="13"/>
  <c r="AB43" i="13"/>
  <c r="AB44" i="13"/>
  <c r="AC45" i="13"/>
  <c r="AD46" i="13"/>
  <c r="AA47" i="13"/>
  <c r="AB48" i="13"/>
  <c r="AK49" i="13"/>
  <c r="AP49" i="13" s="1"/>
  <c r="AB50" i="13"/>
  <c r="R51" i="13"/>
  <c r="AA5" i="13"/>
  <c r="X6" i="13"/>
  <c r="AC6" i="13" s="1"/>
  <c r="V9" i="13"/>
  <c r="AG9" i="13" s="1"/>
  <c r="X10" i="13"/>
  <c r="AC10" i="13" s="1"/>
  <c r="V13" i="13"/>
  <c r="AG13" i="13" s="1"/>
  <c r="V17" i="13"/>
  <c r="V25" i="13"/>
  <c r="AA25" i="13" s="1"/>
  <c r="AA31" i="13"/>
  <c r="AB37" i="13"/>
  <c r="AD38" i="13"/>
  <c r="AA41" i="13"/>
  <c r="AB42" i="13"/>
  <c r="AC43" i="13"/>
  <c r="AD45" i="13"/>
  <c r="AA46" i="13"/>
  <c r="AB47" i="13"/>
  <c r="AC48" i="13"/>
  <c r="AC50" i="13"/>
  <c r="S51" i="13"/>
  <c r="Y6" i="13"/>
  <c r="AD6" i="13" s="1"/>
  <c r="W9" i="13"/>
  <c r="AB9" i="13" s="1"/>
  <c r="Y10" i="13"/>
  <c r="AD10" i="13" s="1"/>
  <c r="W13" i="13"/>
  <c r="AK14" i="13"/>
  <c r="AD20" i="13"/>
  <c r="W25" i="13"/>
  <c r="AK26" i="13"/>
  <c r="AP26" i="13" s="1"/>
  <c r="AH29" i="13"/>
  <c r="V32" i="13"/>
  <c r="AG32" i="13" s="1"/>
  <c r="AB38" i="13"/>
  <c r="AA39" i="13"/>
  <c r="AA40" i="13"/>
  <c r="AB41" i="13"/>
  <c r="AC42" i="13"/>
  <c r="AD43" i="13"/>
  <c r="AA44" i="13"/>
  <c r="AD44" i="13"/>
  <c r="AA45" i="13"/>
  <c r="AB46" i="13"/>
  <c r="AC47" i="13"/>
  <c r="AD48" i="13"/>
  <c r="AD16" i="13"/>
  <c r="AB28" i="13"/>
  <c r="AK47" i="13"/>
  <c r="AJ39" i="13"/>
  <c r="AO39" i="13" s="1"/>
  <c r="AG5" i="13"/>
  <c r="AH49" i="13"/>
  <c r="AD50" i="13"/>
  <c r="AI49" i="13"/>
  <c r="AN49" i="13" s="1"/>
  <c r="AO50" i="2"/>
  <c r="AJ27" i="2"/>
  <c r="AO27" i="2" s="1"/>
  <c r="AK46" i="2"/>
  <c r="AP46" i="2" s="1"/>
  <c r="AL45" i="2"/>
  <c r="AQ45" i="2" s="1"/>
  <c r="AL30" i="2"/>
  <c r="AQ30" i="2" s="1"/>
  <c r="AL46" i="2"/>
  <c r="AQ46" i="2" s="1"/>
  <c r="AK10" i="2"/>
  <c r="AP10" i="2" s="1"/>
  <c r="AK18" i="2"/>
  <c r="AP18" i="2" s="1"/>
  <c r="BW16" i="10"/>
  <c r="BX16" i="10" s="1"/>
  <c r="BC30" i="10"/>
  <c r="BD30" i="10" s="1"/>
  <c r="BC38" i="10"/>
  <c r="BD38" i="10" s="1"/>
  <c r="BE38" i="10" s="1"/>
  <c r="BC47" i="10"/>
  <c r="BD47" i="10" s="1"/>
  <c r="BE47" i="10" s="1"/>
  <c r="BR7" i="10"/>
  <c r="BR42" i="10"/>
  <c r="BR50" i="10"/>
  <c r="BM18" i="10"/>
  <c r="BN18" i="10" s="1"/>
  <c r="BW38" i="10"/>
  <c r="BX38" i="10" s="1"/>
  <c r="BY38" i="10" s="1"/>
  <c r="BR10" i="10"/>
  <c r="BR45" i="10"/>
  <c r="BW45" i="10"/>
  <c r="BX45" i="10" s="1"/>
  <c r="BY45" i="10" s="1"/>
  <c r="BP47" i="10"/>
  <c r="BQ47" i="10" s="1"/>
  <c r="BR47" i="10" s="1"/>
  <c r="BW47" i="10"/>
  <c r="BX47" i="10" s="1"/>
  <c r="BY47" i="10" s="1"/>
  <c r="BF12" i="10"/>
  <c r="BG12" i="10" s="1"/>
  <c r="BH12" i="10" s="1"/>
  <c r="BR29" i="10"/>
  <c r="BR46" i="10"/>
  <c r="BZ18" i="10"/>
  <c r="CA18" i="10" s="1"/>
  <c r="BR39" i="10"/>
  <c r="BO33" i="10"/>
  <c r="BP13" i="10"/>
  <c r="BQ13" i="10" s="1"/>
  <c r="BR13" i="10" s="1"/>
  <c r="BP31" i="10"/>
  <c r="BQ31" i="10" s="1"/>
  <c r="BE25" i="10"/>
  <c r="BF16" i="10"/>
  <c r="BG16" i="10" s="1"/>
  <c r="BC10" i="10"/>
  <c r="BD10" i="10" s="1"/>
  <c r="BE10" i="10" s="1"/>
  <c r="BE14" i="10"/>
  <c r="BO29" i="10"/>
  <c r="BM31" i="10"/>
  <c r="BN31" i="10" s="1"/>
  <c r="BM26" i="10"/>
  <c r="BN26" i="10" s="1"/>
  <c r="BM6" i="10"/>
  <c r="BN6" i="10" s="1"/>
  <c r="BM34" i="10"/>
  <c r="BN34" i="10" s="1"/>
  <c r="BC26" i="10"/>
  <c r="BD26" i="10" s="1"/>
  <c r="BF48" i="10"/>
  <c r="BG48" i="10" s="1"/>
  <c r="BH48" i="10" s="1"/>
  <c r="BM32" i="10"/>
  <c r="BN32" i="10" s="1"/>
  <c r="BO32" i="10" s="1"/>
  <c r="BC21" i="10"/>
  <c r="BD21" i="10" s="1"/>
  <c r="BC31" i="10"/>
  <c r="BD31" i="10" s="1"/>
  <c r="BC37" i="10"/>
  <c r="BD37" i="10" s="1"/>
  <c r="BF21" i="10"/>
  <c r="BG21" i="10" s="1"/>
  <c r="BE7" i="10"/>
  <c r="BB21" i="10"/>
  <c r="BC28" i="10"/>
  <c r="BD28" i="10" s="1"/>
  <c r="BB31" i="10"/>
  <c r="BR31" i="10" s="1"/>
  <c r="BC45" i="10"/>
  <c r="BD45" i="10" s="1"/>
  <c r="BC22" i="10"/>
  <c r="BD22" i="10" s="1"/>
  <c r="BC13" i="10"/>
  <c r="BD13" i="10" s="1"/>
  <c r="BE13" i="10" s="1"/>
  <c r="BB22" i="10"/>
  <c r="CB22" i="10" s="1"/>
  <c r="BE32" i="10"/>
  <c r="BE45" i="10"/>
  <c r="BE33" i="10"/>
  <c r="BE50" i="10"/>
  <c r="BE20" i="10"/>
  <c r="BE30" i="10"/>
  <c r="BE39" i="10"/>
  <c r="BP44" i="10"/>
  <c r="BQ44" i="10" s="1"/>
  <c r="BB9" i="10"/>
  <c r="BY9" i="10" s="1"/>
  <c r="BB17" i="10"/>
  <c r="BY17" i="10" s="1"/>
  <c r="BB27" i="10"/>
  <c r="CB27" i="10" s="1"/>
  <c r="BB35" i="10"/>
  <c r="BY35" i="10" s="1"/>
  <c r="BB44" i="10"/>
  <c r="BF44" i="10"/>
  <c r="BG44" i="10" s="1"/>
  <c r="BB6" i="10"/>
  <c r="BY6" i="10" s="1"/>
  <c r="BC9" i="10"/>
  <c r="BD9" i="10" s="1"/>
  <c r="BC17" i="10"/>
  <c r="BD17" i="10" s="1"/>
  <c r="BC44" i="10"/>
  <c r="BD44" i="10" s="1"/>
  <c r="BB49" i="10"/>
  <c r="BY49" i="10" s="1"/>
  <c r="BW17" i="10"/>
  <c r="BX17" i="10" s="1"/>
  <c r="BF9" i="10"/>
  <c r="BG9" i="10" s="1"/>
  <c r="BB19" i="10"/>
  <c r="BR19" i="10" s="1"/>
  <c r="BZ27" i="10"/>
  <c r="CA27" i="10" s="1"/>
  <c r="BB8" i="10"/>
  <c r="BR8" i="10" s="1"/>
  <c r="BB16" i="10"/>
  <c r="BR16" i="10" s="1"/>
  <c r="BB26" i="10"/>
  <c r="BB34" i="10"/>
  <c r="BO34" i="10" s="1"/>
  <c r="BB43" i="10"/>
  <c r="BY43" i="10" s="1"/>
  <c r="BB51" i="10"/>
  <c r="BM9" i="10"/>
  <c r="BN9" i="10" s="1"/>
  <c r="BB18" i="10"/>
  <c r="CB18" i="10" s="1"/>
  <c r="BB28" i="10"/>
  <c r="BH28" i="10" s="1"/>
  <c r="BB37" i="10"/>
  <c r="BR37" i="10" s="1"/>
  <c r="BM30" i="10"/>
  <c r="BN30" i="10" s="1"/>
  <c r="BO30" i="10" s="1"/>
  <c r="BM19" i="10"/>
  <c r="BN19" i="10" s="1"/>
  <c r="BM35" i="10"/>
  <c r="BN35" i="10" s="1"/>
  <c r="BP25" i="10"/>
  <c r="BQ25" i="10" s="1"/>
  <c r="BZ15" i="10"/>
  <c r="CA15" i="10" s="1"/>
  <c r="CB15" i="10" s="1"/>
  <c r="BM12" i="10"/>
  <c r="BN12" i="10" s="1"/>
  <c r="BO12" i="10" s="1"/>
  <c r="BF11" i="10"/>
  <c r="BG11" i="10" s="1"/>
  <c r="BH11" i="10" s="1"/>
  <c r="BM8" i="10"/>
  <c r="BN8" i="10" s="1"/>
  <c r="BM28" i="10"/>
  <c r="BN28" i="10" s="1"/>
  <c r="BW19" i="10"/>
  <c r="BX19" i="10" s="1"/>
  <c r="BW11" i="10"/>
  <c r="BX11" i="10" s="1"/>
  <c r="BY11" i="10" s="1"/>
  <c r="AB29" i="10"/>
  <c r="R41" i="10"/>
  <c r="AG11" i="10"/>
  <c r="BC11" i="10" s="1"/>
  <c r="BD11" i="10" s="1"/>
  <c r="AA11" i="10"/>
  <c r="AB18" i="10"/>
  <c r="AH37" i="10"/>
  <c r="AE45" i="10"/>
  <c r="AH17" i="10"/>
  <c r="AJ50" i="10"/>
  <c r="AD50" i="10"/>
  <c r="AI46" i="10"/>
  <c r="AC46" i="10"/>
  <c r="AF40" i="10"/>
  <c r="AL40" i="10"/>
  <c r="AL44" i="10"/>
  <c r="AL48" i="10"/>
  <c r="AC35" i="10"/>
  <c r="AE25" i="10"/>
  <c r="AB26" i="10"/>
  <c r="AK35" i="10"/>
  <c r="AH7" i="10"/>
  <c r="AL21" i="10"/>
  <c r="AC31" i="10"/>
  <c r="AW25" i="10"/>
  <c r="AU22" i="9"/>
  <c r="AU20" i="9"/>
  <c r="AU14" i="9"/>
  <c r="AP12" i="9"/>
  <c r="AM5" i="9"/>
  <c r="AX6" i="9"/>
  <c r="AY6" i="9" s="1"/>
  <c r="AZ8" i="9"/>
  <c r="AM11" i="9"/>
  <c r="AZ16" i="9"/>
  <c r="AM19" i="9"/>
  <c r="AM27" i="9"/>
  <c r="AM35" i="9"/>
  <c r="AN40" i="9"/>
  <c r="AO40" i="9" s="1"/>
  <c r="AP40" i="9" s="1"/>
  <c r="AM43" i="9"/>
  <c r="AX46" i="9"/>
  <c r="AY46" i="9" s="1"/>
  <c r="AZ46" i="9" s="1"/>
  <c r="AM6" i="9"/>
  <c r="AX9" i="9"/>
  <c r="AY9" i="9" s="1"/>
  <c r="AX17" i="9"/>
  <c r="AY17" i="9" s="1"/>
  <c r="AZ17" i="9" s="1"/>
  <c r="AS18" i="9"/>
  <c r="AT18" i="9" s="1"/>
  <c r="AU18" i="9" s="1"/>
  <c r="AN19" i="9"/>
  <c r="AO19" i="9" s="1"/>
  <c r="AS34" i="9"/>
  <c r="AT34" i="9" s="1"/>
  <c r="AX41" i="9"/>
  <c r="AY41" i="9" s="1"/>
  <c r="AS50" i="9"/>
  <c r="AT50" i="9" s="1"/>
  <c r="AP8" i="9"/>
  <c r="AM9" i="9"/>
  <c r="AX12" i="9"/>
  <c r="AY12" i="9" s="1"/>
  <c r="AZ12" i="9" s="1"/>
  <c r="AX20" i="9"/>
  <c r="AY20" i="9" s="1"/>
  <c r="AZ20" i="9" s="1"/>
  <c r="AS21" i="9"/>
  <c r="AT21" i="9" s="1"/>
  <c r="AM33" i="9"/>
  <c r="AM41" i="9"/>
  <c r="AM49" i="9"/>
  <c r="AS16" i="9"/>
  <c r="AT16" i="9" s="1"/>
  <c r="AU16" i="9" s="1"/>
  <c r="AS48" i="9"/>
  <c r="AT48" i="9" s="1"/>
  <c r="AX19" i="9"/>
  <c r="AY19" i="9" s="1"/>
  <c r="AX10" i="9"/>
  <c r="AY10" i="9" s="1"/>
  <c r="AZ10" i="9" s="1"/>
  <c r="AX18" i="9"/>
  <c r="AY18" i="9" s="1"/>
  <c r="AZ18" i="9" s="1"/>
  <c r="AX42" i="9"/>
  <c r="AY42" i="9" s="1"/>
  <c r="AM26" i="9"/>
  <c r="AM34" i="9"/>
  <c r="AM42" i="9"/>
  <c r="AM50" i="9"/>
  <c r="AB32" i="9"/>
  <c r="AS32" i="9" s="1"/>
  <c r="AT32" i="9" s="1"/>
  <c r="Y32" i="9"/>
  <c r="Y35" i="9"/>
  <c r="AB35" i="9"/>
  <c r="AS35" i="9" s="1"/>
  <c r="AT35" i="9" s="1"/>
  <c r="AB50" i="9"/>
  <c r="AA45" i="9"/>
  <c r="AN45" i="9" s="1"/>
  <c r="AO45" i="9" s="1"/>
  <c r="Y22" i="9"/>
  <c r="AB26" i="9"/>
  <c r="AS26" i="9" s="1"/>
  <c r="AT26" i="9" s="1"/>
  <c r="AB14" i="9"/>
  <c r="AS14" i="9" s="1"/>
  <c r="AT14" i="9" s="1"/>
  <c r="Y14" i="9"/>
  <c r="AA33" i="9"/>
  <c r="AN33" i="9" s="1"/>
  <c r="AO33" i="9" s="1"/>
  <c r="X33" i="9"/>
  <c r="AA48" i="9"/>
  <c r="AN48" i="9" s="1"/>
  <c r="AO48" i="9" s="1"/>
  <c r="AP48" i="9" s="1"/>
  <c r="X48" i="9"/>
  <c r="AC49" i="9"/>
  <c r="AX49" i="9" s="1"/>
  <c r="AY49" i="9" s="1"/>
  <c r="Z49" i="9"/>
  <c r="AB28" i="9"/>
  <c r="AS28" i="9" s="1"/>
  <c r="AT28" i="9" s="1"/>
  <c r="Y28" i="9"/>
  <c r="Z39" i="9"/>
  <c r="AC39" i="9"/>
  <c r="AX39" i="9" s="1"/>
  <c r="AY39" i="9" s="1"/>
  <c r="AZ39" i="9" s="1"/>
  <c r="AB38" i="9"/>
  <c r="AS38" i="9" s="1"/>
  <c r="AT38" i="9" s="1"/>
  <c r="AU38" i="9" s="1"/>
  <c r="Y38" i="9"/>
  <c r="Y40" i="9"/>
  <c r="AB40" i="9"/>
  <c r="AS40" i="9" s="1"/>
  <c r="AT40" i="9" s="1"/>
  <c r="AA38" i="9"/>
  <c r="X38" i="9"/>
  <c r="AB39" i="9"/>
  <c r="AS39" i="9" s="1"/>
  <c r="AT39" i="9" s="1"/>
  <c r="AU39" i="9" s="1"/>
  <c r="Y39" i="9"/>
  <c r="Y21" i="9"/>
  <c r="AB21" i="9"/>
  <c r="X10" i="9"/>
  <c r="Y18" i="9"/>
  <c r="AB17" i="9"/>
  <c r="AS17" i="9" s="1"/>
  <c r="AT17" i="9" s="1"/>
  <c r="Z36" i="9"/>
  <c r="Y16" i="9"/>
  <c r="AC30" i="9"/>
  <c r="AX30" i="9" s="1"/>
  <c r="AY30" i="9" s="1"/>
  <c r="AZ30" i="9" s="1"/>
  <c r="X12" i="9"/>
  <c r="Z16" i="9"/>
  <c r="AB29" i="9"/>
  <c r="AS29" i="9" s="1"/>
  <c r="AT29" i="9" s="1"/>
  <c r="AU29" i="9" s="1"/>
  <c r="AC29" i="9"/>
  <c r="AX29" i="9" s="1"/>
  <c r="AY29" i="9" s="1"/>
  <c r="AZ29" i="9" s="1"/>
  <c r="Y34" i="9"/>
  <c r="AA8" i="9"/>
  <c r="AN8" i="9" s="1"/>
  <c r="AO8" i="9" s="1"/>
  <c r="AB19" i="9"/>
  <c r="AS19" i="9" s="1"/>
  <c r="AT19" i="9" s="1"/>
  <c r="AA41" i="9"/>
  <c r="AN41" i="9" s="1"/>
  <c r="AO41" i="9" s="1"/>
  <c r="AS18" i="8"/>
  <c r="AT18" i="8" s="1"/>
  <c r="AU18" i="8" s="1"/>
  <c r="AN39" i="8"/>
  <c r="AO39" i="8" s="1"/>
  <c r="AP39" i="8" s="1"/>
  <c r="AN47" i="8"/>
  <c r="AO47" i="8" s="1"/>
  <c r="AP47" i="8" s="1"/>
  <c r="AX39" i="8"/>
  <c r="AY39" i="8" s="1"/>
  <c r="AZ39" i="8" s="1"/>
  <c r="AX47" i="8"/>
  <c r="AY47" i="8" s="1"/>
  <c r="AZ47" i="8" s="1"/>
  <c r="AN48" i="8"/>
  <c r="AO48" i="8" s="1"/>
  <c r="AS29" i="8"/>
  <c r="AT29" i="8" s="1"/>
  <c r="AU29" i="8" s="1"/>
  <c r="AN40" i="8"/>
  <c r="AO40" i="8" s="1"/>
  <c r="AP40" i="8" s="1"/>
  <c r="AX40" i="8"/>
  <c r="AY40" i="8" s="1"/>
  <c r="AZ40" i="8" s="1"/>
  <c r="AS21" i="8"/>
  <c r="AT21" i="8" s="1"/>
  <c r="AU21" i="8" s="1"/>
  <c r="AS32" i="8"/>
  <c r="AT32" i="8" s="1"/>
  <c r="AX29" i="8"/>
  <c r="AY29" i="8" s="1"/>
  <c r="AZ29" i="8" s="1"/>
  <c r="AX21" i="8"/>
  <c r="AY21" i="8" s="1"/>
  <c r="AZ21" i="8" s="1"/>
  <c r="AX12" i="8"/>
  <c r="AY12" i="8" s="1"/>
  <c r="AZ12" i="8" s="1"/>
  <c r="AN7" i="8"/>
  <c r="AO7" i="8" s="1"/>
  <c r="AP7" i="8" s="1"/>
  <c r="AS47" i="8"/>
  <c r="AT47" i="8" s="1"/>
  <c r="AU47" i="8" s="1"/>
  <c r="AX20" i="8"/>
  <c r="AY20" i="8" s="1"/>
  <c r="AZ20" i="8" s="1"/>
  <c r="AN29" i="8"/>
  <c r="AO29" i="8" s="1"/>
  <c r="AP29" i="8" s="1"/>
  <c r="AN11" i="8"/>
  <c r="AO11" i="8" s="1"/>
  <c r="AP11" i="8" s="1"/>
  <c r="AS33" i="8"/>
  <c r="AT33" i="8" s="1"/>
  <c r="AX26" i="8"/>
  <c r="AY26" i="8" s="1"/>
  <c r="AZ26" i="8" s="1"/>
  <c r="AX41" i="8"/>
  <c r="AY41" i="8" s="1"/>
  <c r="AZ41" i="8" s="1"/>
  <c r="AS13" i="6"/>
  <c r="AT13" i="6" s="1"/>
  <c r="AU13" i="6" s="1"/>
  <c r="AS50" i="6"/>
  <c r="AT50" i="6" s="1"/>
  <c r="AU50" i="6" s="1"/>
  <c r="AS19" i="6"/>
  <c r="AT19" i="6" s="1"/>
  <c r="AU19" i="6" s="1"/>
  <c r="AN37" i="6"/>
  <c r="AO37" i="6" s="1"/>
  <c r="AN45" i="6"/>
  <c r="AO45" i="6" s="1"/>
  <c r="AP45" i="6" s="1"/>
  <c r="AP50" i="6"/>
  <c r="AN41" i="6"/>
  <c r="AO41" i="6" s="1"/>
  <c r="AP41" i="6" s="1"/>
  <c r="AS15" i="6"/>
  <c r="AT15" i="6" s="1"/>
  <c r="AU15" i="6" s="1"/>
  <c r="AN16" i="6"/>
  <c r="AO16" i="6" s="1"/>
  <c r="AN34" i="6"/>
  <c r="AO34" i="6" s="1"/>
  <c r="AP34" i="6" s="1"/>
  <c r="AN39" i="6"/>
  <c r="AO39" i="6" s="1"/>
  <c r="AN6" i="6"/>
  <c r="AO6" i="6" s="1"/>
  <c r="AP6" i="6" s="1"/>
  <c r="AN22" i="6"/>
  <c r="AO22" i="6" s="1"/>
  <c r="AP22" i="6" s="1"/>
  <c r="AP12" i="6"/>
  <c r="AP20" i="6"/>
  <c r="AN8" i="6"/>
  <c r="AO8" i="6" s="1"/>
  <c r="AN26" i="6"/>
  <c r="AO26" i="6" s="1"/>
  <c r="AP26" i="6" s="1"/>
  <c r="AN42" i="6"/>
  <c r="AO42" i="6" s="1"/>
  <c r="AN47" i="6"/>
  <c r="AO47" i="6" s="1"/>
  <c r="AP49" i="6"/>
  <c r="AN35" i="6"/>
  <c r="AO35" i="6" s="1"/>
  <c r="AN32" i="6"/>
  <c r="AO32" i="6" s="1"/>
  <c r="AN27" i="6"/>
  <c r="AO27" i="6" s="1"/>
  <c r="AN28" i="6"/>
  <c r="AO28" i="6" s="1"/>
  <c r="AH27" i="10"/>
  <c r="AB31" i="10"/>
  <c r="AH43" i="10"/>
  <c r="AH45" i="10"/>
  <c r="AB12" i="10"/>
  <c r="AB19" i="10"/>
  <c r="AG48" i="10"/>
  <c r="BC48" i="10" s="1"/>
  <c r="BD48" i="10" s="1"/>
  <c r="AA35" i="10"/>
  <c r="AG35" i="10"/>
  <c r="BC35" i="10" s="1"/>
  <c r="BD35" i="10" s="1"/>
  <c r="AG12" i="10"/>
  <c r="BC12" i="10" s="1"/>
  <c r="BD12" i="10" s="1"/>
  <c r="AA12" i="10"/>
  <c r="AA13" i="10"/>
  <c r="AA14" i="10"/>
  <c r="AA9" i="10"/>
  <c r="AC28" i="10"/>
  <c r="AI28" i="10"/>
  <c r="AC50" i="10"/>
  <c r="AI50" i="10"/>
  <c r="AC43" i="10"/>
  <c r="AC26" i="10"/>
  <c r="AI15" i="10"/>
  <c r="AC15" i="10"/>
  <c r="AI13" i="10"/>
  <c r="AF25" i="10"/>
  <c r="AF22" i="10"/>
  <c r="AK34" i="10"/>
  <c r="AE34" i="10"/>
  <c r="AK40" i="10"/>
  <c r="AK32" i="10"/>
  <c r="AE29" i="10"/>
  <c r="AE17" i="10"/>
  <c r="AK17" i="10"/>
  <c r="AK18" i="10"/>
  <c r="AE18" i="10"/>
  <c r="AK11" i="10"/>
  <c r="AE13" i="10"/>
  <c r="AE19" i="10"/>
  <c r="AK14" i="10"/>
  <c r="AE6" i="10"/>
  <c r="AJ42" i="10"/>
  <c r="AD42" i="10"/>
  <c r="AD44" i="10"/>
  <c r="AJ18" i="10"/>
  <c r="AJ6" i="10"/>
  <c r="AD21" i="10"/>
  <c r="AL5" i="10"/>
  <c r="AX5" i="10"/>
  <c r="AI5" i="10"/>
  <c r="AC5" i="10"/>
  <c r="AT25" i="10"/>
  <c r="AE31" i="10"/>
  <c r="AK33" i="10"/>
  <c r="AE36" i="10"/>
  <c r="AE37" i="10"/>
  <c r="AE50" i="10"/>
  <c r="AD28" i="10"/>
  <c r="AJ30" i="10"/>
  <c r="AE46" i="10"/>
  <c r="AX25" i="10"/>
  <c r="AK30" i="10"/>
  <c r="AF34" i="10"/>
  <c r="AK38" i="10"/>
  <c r="AE42" i="10"/>
  <c r="AE44" i="10"/>
  <c r="AL46" i="10"/>
  <c r="AL50" i="10"/>
  <c r="AK26" i="10"/>
  <c r="AK28" i="10"/>
  <c r="AL38" i="10"/>
  <c r="AL42" i="10"/>
  <c r="AE47" i="10"/>
  <c r="AL26" i="10"/>
  <c r="AF32" i="10"/>
  <c r="AF15" i="10"/>
  <c r="AK22" i="10"/>
  <c r="AL12" i="10"/>
  <c r="AD16" i="10"/>
  <c r="AE5" i="10"/>
  <c r="AJ7" i="10"/>
  <c r="AL8" i="10"/>
  <c r="AE16" i="10"/>
  <c r="AK5" i="10"/>
  <c r="AL9" i="10"/>
  <c r="AJ10" i="10"/>
  <c r="AW5" i="10"/>
  <c r="AL10" i="10"/>
  <c r="AC16" i="10"/>
  <c r="AI22" i="10"/>
  <c r="AB6" i="10"/>
  <c r="AI20" i="10"/>
  <c r="AI12" i="10"/>
  <c r="AH15" i="10"/>
  <c r="BM15" i="10" s="1"/>
  <c r="BN15" i="10" s="1"/>
  <c r="AC14" i="10"/>
  <c r="AC17" i="10"/>
  <c r="AC9" i="10"/>
  <c r="AC11" i="10"/>
  <c r="AB22" i="10"/>
  <c r="AB30" i="10"/>
  <c r="AB34" i="10"/>
  <c r="AC38" i="10"/>
  <c r="AI40" i="10"/>
  <c r="AI44" i="10"/>
  <c r="AB36" i="10"/>
  <c r="AI42" i="10"/>
  <c r="AH25" i="10"/>
  <c r="BM25" i="10" s="1"/>
  <c r="BN25" i="10" s="1"/>
  <c r="AB33" i="10"/>
  <c r="AC37" i="10"/>
  <c r="AH49" i="10"/>
  <c r="BM49" i="10" s="1"/>
  <c r="BN49" i="10" s="1"/>
  <c r="AH51" i="10"/>
  <c r="AB32" i="10"/>
  <c r="AI33" i="10"/>
  <c r="AB35" i="10"/>
  <c r="AC45" i="10"/>
  <c r="AH39" i="10"/>
  <c r="BM39" i="10" s="1"/>
  <c r="BN39" i="10" s="1"/>
  <c r="AH41" i="10"/>
  <c r="AH47" i="10"/>
  <c r="AA40" i="10"/>
  <c r="AA44" i="10"/>
  <c r="AA36" i="10"/>
  <c r="AA25" i="10"/>
  <c r="AA32" i="10"/>
  <c r="AA33" i="10"/>
  <c r="AG27" i="10"/>
  <c r="BC27" i="10" s="1"/>
  <c r="BD27" i="10" s="1"/>
  <c r="AA30" i="10"/>
  <c r="AG42" i="10"/>
  <c r="BC42" i="10" s="1"/>
  <c r="BD42" i="10" s="1"/>
  <c r="AA22" i="10"/>
  <c r="AA21" i="10"/>
  <c r="AD5" i="10"/>
  <c r="AJ5" i="10"/>
  <c r="AV5" i="10"/>
  <c r="AS5" i="10"/>
  <c r="AF6" i="10"/>
  <c r="AL6" i="10"/>
  <c r="AA15" i="10"/>
  <c r="AG15" i="10"/>
  <c r="BC15" i="10" s="1"/>
  <c r="BD15" i="10" s="1"/>
  <c r="AF5" i="10"/>
  <c r="AA7" i="10"/>
  <c r="AB8" i="10"/>
  <c r="AB9" i="10"/>
  <c r="AF11" i="10"/>
  <c r="AL11" i="10"/>
  <c r="AJ17" i="10"/>
  <c r="AA18" i="10"/>
  <c r="AG18" i="10"/>
  <c r="BC18" i="10" s="1"/>
  <c r="BD18" i="10" s="1"/>
  <c r="AG5" i="10"/>
  <c r="BC5" i="10" s="1"/>
  <c r="BD5" i="10" s="1"/>
  <c r="AD8" i="10"/>
  <c r="AA10" i="10"/>
  <c r="AE41" i="10"/>
  <c r="AK41" i="10"/>
  <c r="AH5" i="10"/>
  <c r="AU5" i="10"/>
  <c r="AC6" i="10"/>
  <c r="AE7" i="10"/>
  <c r="AE8" i="10"/>
  <c r="AD9" i="10"/>
  <c r="AE10" i="10"/>
  <c r="AH11" i="10"/>
  <c r="BM11" i="10" s="1"/>
  <c r="BN11" i="10" s="1"/>
  <c r="AB11" i="10"/>
  <c r="AB13" i="10"/>
  <c r="AH13" i="10"/>
  <c r="AL13" i="10"/>
  <c r="AL16" i="10"/>
  <c r="AF16" i="10"/>
  <c r="AF18" i="10"/>
  <c r="AH20" i="10"/>
  <c r="BM20" i="10" s="1"/>
  <c r="BN20" i="10" s="1"/>
  <c r="AA6" i="10"/>
  <c r="AG6" i="10"/>
  <c r="BC6" i="10" s="1"/>
  <c r="BD6" i="10" s="1"/>
  <c r="AD12" i="10"/>
  <c r="AF14" i="10"/>
  <c r="AA17" i="10"/>
  <c r="AJ22" i="10"/>
  <c r="AD22" i="10"/>
  <c r="AG8" i="10"/>
  <c r="BC8" i="10" s="1"/>
  <c r="BD8" i="10" s="1"/>
  <c r="AH10" i="10"/>
  <c r="AJ13" i="10"/>
  <c r="AD13" i="10"/>
  <c r="AC19" i="10"/>
  <c r="AD20" i="10"/>
  <c r="AJ20" i="10"/>
  <c r="AL20" i="10"/>
  <c r="AF7" i="10"/>
  <c r="AL7" i="10"/>
  <c r="AD11" i="10"/>
  <c r="AI7" i="10"/>
  <c r="AC8" i="10"/>
  <c r="AI8" i="10"/>
  <c r="AH14" i="10"/>
  <c r="AB14" i="10"/>
  <c r="AJ14" i="10"/>
  <c r="AA16" i="10"/>
  <c r="AG16" i="10"/>
  <c r="BC16" i="10" s="1"/>
  <c r="BD16" i="10" s="1"/>
  <c r="AK9" i="10"/>
  <c r="BP9" i="10" s="1"/>
  <c r="BQ9" i="10" s="1"/>
  <c r="AF17" i="10"/>
  <c r="AL17" i="10"/>
  <c r="AF19" i="10"/>
  <c r="AL19" i="10"/>
  <c r="AC25" i="10"/>
  <c r="AI25" i="10"/>
  <c r="AD15" i="10"/>
  <c r="AJ15" i="10"/>
  <c r="AG19" i="10"/>
  <c r="BC19" i="10" s="1"/>
  <c r="BD19" i="10" s="1"/>
  <c r="AE21" i="10"/>
  <c r="AS25" i="10"/>
  <c r="AV25" i="10"/>
  <c r="AD25" i="10"/>
  <c r="AJ25" i="10"/>
  <c r="AJ38" i="10"/>
  <c r="AD38" i="10"/>
  <c r="AK15" i="10"/>
  <c r="AH16" i="10"/>
  <c r="BM16" i="10" s="1"/>
  <c r="BN16" i="10" s="1"/>
  <c r="AC18" i="10"/>
  <c r="AI18" i="10"/>
  <c r="AJ19" i="10"/>
  <c r="AE20" i="10"/>
  <c r="AK20" i="10"/>
  <c r="AB21" i="10"/>
  <c r="AH21" i="10"/>
  <c r="AK27" i="10"/>
  <c r="AE27" i="10"/>
  <c r="AD32" i="10"/>
  <c r="AJ32" i="10"/>
  <c r="AG41" i="10"/>
  <c r="BC41" i="10" s="1"/>
  <c r="BD41" i="10" s="1"/>
  <c r="AA41" i="10"/>
  <c r="AC10" i="10"/>
  <c r="AI10" i="10"/>
  <c r="AE12" i="10"/>
  <c r="AK12" i="10"/>
  <c r="AA20" i="10"/>
  <c r="AI21" i="10"/>
  <c r="AF29" i="10"/>
  <c r="AD33" i="10"/>
  <c r="AJ33" i="10"/>
  <c r="BF33" i="10" s="1"/>
  <c r="BG33" i="10" s="1"/>
  <c r="AJ26" i="10"/>
  <c r="AD26" i="10"/>
  <c r="AF39" i="10"/>
  <c r="AL39" i="10"/>
  <c r="AK43" i="10"/>
  <c r="AE43" i="10"/>
  <c r="AG29" i="10"/>
  <c r="BC29" i="10" s="1"/>
  <c r="BD29" i="10" s="1"/>
  <c r="AI30" i="10"/>
  <c r="AD36" i="10"/>
  <c r="AJ36" i="10"/>
  <c r="AC36" i="10"/>
  <c r="AA39" i="10"/>
  <c r="AB40" i="10"/>
  <c r="AH40" i="10"/>
  <c r="AA45" i="10"/>
  <c r="AJ46" i="10"/>
  <c r="BF46" i="10" s="1"/>
  <c r="BG46" i="10" s="1"/>
  <c r="AD46" i="10"/>
  <c r="AC29" i="10"/>
  <c r="AI29" i="10"/>
  <c r="AL36" i="10"/>
  <c r="AF36" i="10"/>
  <c r="AE39" i="10"/>
  <c r="AB42" i="10"/>
  <c r="AH42" i="10"/>
  <c r="AG49" i="10"/>
  <c r="BC49" i="10" s="1"/>
  <c r="BD49" i="10" s="1"/>
  <c r="AA49" i="10"/>
  <c r="AK49" i="10"/>
  <c r="AL25" i="10"/>
  <c r="AA28" i="10"/>
  <c r="AL28" i="10"/>
  <c r="AJ29" i="10"/>
  <c r="AA31" i="10"/>
  <c r="AG34" i="10"/>
  <c r="BC34" i="10" s="1"/>
  <c r="BD34" i="10" s="1"/>
  <c r="AF37" i="10"/>
  <c r="AL37" i="10"/>
  <c r="AJ43" i="10"/>
  <c r="AD43" i="10"/>
  <c r="AJ45" i="10"/>
  <c r="AD45" i="10"/>
  <c r="AK51" i="10"/>
  <c r="AE51" i="10"/>
  <c r="AF27" i="10"/>
  <c r="AB28" i="10"/>
  <c r="AI34" i="10"/>
  <c r="AA37" i="10"/>
  <c r="AI39" i="10"/>
  <c r="AG43" i="10"/>
  <c r="BC43" i="10" s="1"/>
  <c r="BD43" i="10" s="1"/>
  <c r="AD31" i="10"/>
  <c r="AJ31" i="10"/>
  <c r="AD34" i="10"/>
  <c r="AJ34" i="10"/>
  <c r="AD35" i="10"/>
  <c r="AJ35" i="10"/>
  <c r="BF35" i="10" s="1"/>
  <c r="BG35" i="10" s="1"/>
  <c r="AI41" i="10"/>
  <c r="AA47" i="10"/>
  <c r="AC27" i="10"/>
  <c r="AI27" i="10"/>
  <c r="AL31" i="10"/>
  <c r="AF31" i="10"/>
  <c r="AL35" i="10"/>
  <c r="AF35" i="10"/>
  <c r="AJ37" i="10"/>
  <c r="AD37" i="10"/>
  <c r="AJ40" i="10"/>
  <c r="AD40" i="10"/>
  <c r="AA26" i="10"/>
  <c r="AJ27" i="10"/>
  <c r="BF27" i="10" s="1"/>
  <c r="BG27" i="10" s="1"/>
  <c r="AL30" i="10"/>
  <c r="AF30" i="10"/>
  <c r="AI32" i="10"/>
  <c r="AA38" i="10"/>
  <c r="AJ39" i="10"/>
  <c r="AD39" i="10"/>
  <c r="AF41" i="10"/>
  <c r="AL41" i="10"/>
  <c r="AB44" i="10"/>
  <c r="AH44" i="10"/>
  <c r="BM44" i="10" s="1"/>
  <c r="BN44" i="10" s="1"/>
  <c r="AJ47" i="10"/>
  <c r="AD47" i="10"/>
  <c r="AC47" i="10"/>
  <c r="AF49" i="10"/>
  <c r="AL49" i="10"/>
  <c r="AF51" i="10"/>
  <c r="AL51" i="10"/>
  <c r="AC48" i="10"/>
  <c r="AF33" i="10"/>
  <c r="AB38" i="10"/>
  <c r="AH38" i="10"/>
  <c r="AJ41" i="10"/>
  <c r="AD41" i="10"/>
  <c r="AF43" i="10"/>
  <c r="AL43" i="10"/>
  <c r="AB46" i="10"/>
  <c r="AH46" i="10"/>
  <c r="AG46" i="10"/>
  <c r="BC46" i="10" s="1"/>
  <c r="BD46" i="10" s="1"/>
  <c r="BE46" i="10" s="1"/>
  <c r="AD48" i="10"/>
  <c r="AJ49" i="10"/>
  <c r="AD49" i="10"/>
  <c r="AC49" i="10"/>
  <c r="AA50" i="10"/>
  <c r="AG51" i="10"/>
  <c r="BC51" i="10" s="1"/>
  <c r="BD51" i="10" s="1"/>
  <c r="AE48" i="10"/>
  <c r="AJ51" i="10"/>
  <c r="AD51" i="10"/>
  <c r="AF45" i="10"/>
  <c r="AL45" i="10"/>
  <c r="AB48" i="10"/>
  <c r="AH48" i="10"/>
  <c r="AF47" i="10"/>
  <c r="AL47" i="10"/>
  <c r="AB50" i="10"/>
  <c r="AH50" i="10"/>
  <c r="AC51" i="10"/>
  <c r="AI51" i="10"/>
  <c r="X26" i="9"/>
  <c r="X40" i="9"/>
  <c r="AA34" i="9"/>
  <c r="AN34" i="9" s="1"/>
  <c r="AO34" i="9" s="1"/>
  <c r="AA7" i="9"/>
  <c r="AN7" i="9" s="1"/>
  <c r="AO7" i="9" s="1"/>
  <c r="AA9" i="9"/>
  <c r="AN9" i="9" s="1"/>
  <c r="AO9" i="9" s="1"/>
  <c r="R5" i="9"/>
  <c r="AG5" i="9" s="1"/>
  <c r="X5" i="9"/>
  <c r="AA5" i="9"/>
  <c r="AN5" i="9" s="1"/>
  <c r="AO5" i="9" s="1"/>
  <c r="AB43" i="9"/>
  <c r="AS43" i="9" s="1"/>
  <c r="AT43" i="9" s="1"/>
  <c r="Y43" i="9"/>
  <c r="Y48" i="9"/>
  <c r="Y46" i="9"/>
  <c r="AB44" i="9"/>
  <c r="AS44" i="9" s="1"/>
  <c r="AT44" i="9" s="1"/>
  <c r="AU44" i="9" s="1"/>
  <c r="AB42" i="9"/>
  <c r="AS42" i="9" s="1"/>
  <c r="AT42" i="9" s="1"/>
  <c r="AC43" i="9"/>
  <c r="AX43" i="9" s="1"/>
  <c r="AY43" i="9" s="1"/>
  <c r="Z43" i="9"/>
  <c r="AC28" i="9"/>
  <c r="AX28" i="9" s="1"/>
  <c r="AY28" i="9" s="1"/>
  <c r="AZ28" i="9" s="1"/>
  <c r="Z28" i="9"/>
  <c r="Z50" i="9"/>
  <c r="AC50" i="9"/>
  <c r="AX50" i="9" s="1"/>
  <c r="AY50" i="9" s="1"/>
  <c r="Z31" i="9"/>
  <c r="Z46" i="9"/>
  <c r="AC47" i="9"/>
  <c r="Z38" i="9"/>
  <c r="AC15" i="9"/>
  <c r="AX15" i="9" s="1"/>
  <c r="AY15" i="9" s="1"/>
  <c r="AZ15" i="9" s="1"/>
  <c r="Z15" i="9"/>
  <c r="AC22" i="9"/>
  <c r="AX22" i="9" s="1"/>
  <c r="AY22" i="9" s="1"/>
  <c r="AZ22" i="9" s="1"/>
  <c r="Z8" i="9"/>
  <c r="Z18" i="9"/>
  <c r="AC14" i="9"/>
  <c r="AX14" i="9" s="1"/>
  <c r="AY14" i="9" s="1"/>
  <c r="AZ14" i="9" s="1"/>
  <c r="Y8" i="8"/>
  <c r="AB8" i="9"/>
  <c r="Y8" i="9"/>
  <c r="Y9" i="9"/>
  <c r="AB9" i="9"/>
  <c r="AS9" i="9" s="1"/>
  <c r="AT9" i="9" s="1"/>
  <c r="AC11" i="9"/>
  <c r="AX11" i="9" s="1"/>
  <c r="AY11" i="9" s="1"/>
  <c r="Z11" i="9"/>
  <c r="X29" i="9"/>
  <c r="AA29" i="9"/>
  <c r="AN29" i="9" s="1"/>
  <c r="AO29" i="9" s="1"/>
  <c r="AB31" i="9"/>
  <c r="Y31" i="9"/>
  <c r="AC33" i="9"/>
  <c r="AX33" i="9" s="1"/>
  <c r="AY33" i="9" s="1"/>
  <c r="Z33" i="9"/>
  <c r="AC34" i="9"/>
  <c r="AX34" i="9" s="1"/>
  <c r="AY34" i="9" s="1"/>
  <c r="Z34" i="9"/>
  <c r="AB10" i="9"/>
  <c r="AS10" i="9" s="1"/>
  <c r="AT10" i="9" s="1"/>
  <c r="Y10" i="9"/>
  <c r="X18" i="9"/>
  <c r="AA18" i="9"/>
  <c r="AN18" i="9" s="1"/>
  <c r="AO18" i="9" s="1"/>
  <c r="AA35" i="9"/>
  <c r="AN35" i="9" s="1"/>
  <c r="AO35" i="9" s="1"/>
  <c r="X35" i="9"/>
  <c r="Y11" i="9"/>
  <c r="AB11" i="9"/>
  <c r="AS11" i="9" s="1"/>
  <c r="AT11" i="9" s="1"/>
  <c r="X27" i="9"/>
  <c r="AA27" i="9"/>
  <c r="AN27" i="9" s="1"/>
  <c r="AO27" i="9" s="1"/>
  <c r="Y5" i="9"/>
  <c r="S5" i="9"/>
  <c r="AB5" i="9"/>
  <c r="AS5" i="9" s="1"/>
  <c r="AT5" i="9" s="1"/>
  <c r="Y13" i="9"/>
  <c r="AB13" i="9"/>
  <c r="AS13" i="9" s="1"/>
  <c r="AT13" i="9" s="1"/>
  <c r="AU13" i="9" s="1"/>
  <c r="AC21" i="9"/>
  <c r="AX21" i="9" s="1"/>
  <c r="AY21" i="9" s="1"/>
  <c r="AZ21" i="9" s="1"/>
  <c r="Z21" i="9"/>
  <c r="Z5" i="9"/>
  <c r="T5" i="9"/>
  <c r="AC5" i="9"/>
  <c r="AX5" i="9" s="1"/>
  <c r="AY5" i="9" s="1"/>
  <c r="AC13" i="9"/>
  <c r="AX13" i="9" s="1"/>
  <c r="AY13" i="9" s="1"/>
  <c r="Z13" i="9"/>
  <c r="AB6" i="9"/>
  <c r="AS6" i="9" s="1"/>
  <c r="AT6" i="9" s="1"/>
  <c r="Y6" i="9"/>
  <c r="AB7" i="9"/>
  <c r="AS7" i="9" s="1"/>
  <c r="AT7" i="9" s="1"/>
  <c r="Z9" i="9"/>
  <c r="Z12" i="9"/>
  <c r="AB15" i="9"/>
  <c r="AS15" i="9" s="1"/>
  <c r="AT15" i="9" s="1"/>
  <c r="Z17" i="9"/>
  <c r="Y20" i="9"/>
  <c r="X30" i="9"/>
  <c r="AC32" i="9"/>
  <c r="AB37" i="9"/>
  <c r="AS37" i="9" s="1"/>
  <c r="AT37" i="9" s="1"/>
  <c r="AU37" i="9" s="1"/>
  <c r="Y37" i="9"/>
  <c r="AB41" i="9"/>
  <c r="AS41" i="9" s="1"/>
  <c r="AT41" i="9" s="1"/>
  <c r="AA44" i="9"/>
  <c r="AN44" i="9" s="1"/>
  <c r="AO44" i="9" s="1"/>
  <c r="AC48" i="9"/>
  <c r="Z48" i="9"/>
  <c r="AA21" i="9"/>
  <c r="AN21" i="9" s="1"/>
  <c r="AO21" i="9" s="1"/>
  <c r="X21" i="9"/>
  <c r="Y25" i="9"/>
  <c r="Y36" i="9"/>
  <c r="AB36" i="9"/>
  <c r="AS36" i="9" s="1"/>
  <c r="AT36" i="9" s="1"/>
  <c r="X6" i="9"/>
  <c r="Z20" i="9"/>
  <c r="AA36" i="9"/>
  <c r="AN36" i="9" s="1"/>
  <c r="AO36" i="9" s="1"/>
  <c r="X36" i="9"/>
  <c r="Z42" i="9"/>
  <c r="AB45" i="9"/>
  <c r="AS45" i="9" s="1"/>
  <c r="AT45" i="9" s="1"/>
  <c r="AU45" i="9" s="1"/>
  <c r="Y45" i="9"/>
  <c r="AA13" i="9"/>
  <c r="AN13" i="9" s="1"/>
  <c r="AO13" i="9" s="1"/>
  <c r="X13" i="9"/>
  <c r="X39" i="9"/>
  <c r="AA39" i="9"/>
  <c r="AN39" i="9" s="1"/>
  <c r="AO39" i="9" s="1"/>
  <c r="AP39" i="9" s="1"/>
  <c r="Z6" i="9"/>
  <c r="AA16" i="9"/>
  <c r="AN16" i="9" s="1"/>
  <c r="AO16" i="9" s="1"/>
  <c r="X16" i="9"/>
  <c r="X19" i="9"/>
  <c r="Z25" i="9"/>
  <c r="AA37" i="9"/>
  <c r="AN37" i="9" s="1"/>
  <c r="AO37" i="9" s="1"/>
  <c r="X37" i="9"/>
  <c r="AC44" i="9"/>
  <c r="AX44" i="9" s="1"/>
  <c r="AY44" i="9" s="1"/>
  <c r="AZ44" i="9" s="1"/>
  <c r="AB47" i="9"/>
  <c r="AS47" i="9" s="1"/>
  <c r="AT47" i="9" s="1"/>
  <c r="AU47" i="9" s="1"/>
  <c r="X49" i="9"/>
  <c r="AA49" i="9"/>
  <c r="AN49" i="9" s="1"/>
  <c r="AO49" i="9" s="1"/>
  <c r="AA50" i="9"/>
  <c r="AN50" i="9" s="1"/>
  <c r="AO50" i="9" s="1"/>
  <c r="X50" i="9"/>
  <c r="AA11" i="9"/>
  <c r="AN11" i="9" s="1"/>
  <c r="AO11" i="9" s="1"/>
  <c r="AA14" i="9"/>
  <c r="AN14" i="9" s="1"/>
  <c r="AO14" i="9" s="1"/>
  <c r="AA17" i="9"/>
  <c r="AN17" i="9" s="1"/>
  <c r="AO17" i="9" s="1"/>
  <c r="AP17" i="9" s="1"/>
  <c r="X17" i="9"/>
  <c r="Z19" i="9"/>
  <c r="AA22" i="9"/>
  <c r="AN22" i="9" s="1"/>
  <c r="AO22" i="9" s="1"/>
  <c r="AA25" i="9"/>
  <c r="AN25" i="9" s="1"/>
  <c r="AO25" i="9" s="1"/>
  <c r="AB27" i="9"/>
  <c r="AS27" i="9" s="1"/>
  <c r="AT27" i="9" s="1"/>
  <c r="Z37" i="9"/>
  <c r="AC37" i="9"/>
  <c r="AX37" i="9" s="1"/>
  <c r="AY37" i="9" s="1"/>
  <c r="AA43" i="9"/>
  <c r="AN43" i="9" s="1"/>
  <c r="AO43" i="9" s="1"/>
  <c r="X43" i="9"/>
  <c r="AA28" i="9"/>
  <c r="AN28" i="9" s="1"/>
  <c r="AO28" i="9" s="1"/>
  <c r="X28" i="9"/>
  <c r="AB30" i="9"/>
  <c r="AS30" i="9" s="1"/>
  <c r="AT30" i="9" s="1"/>
  <c r="AU30" i="9" s="1"/>
  <c r="Y30" i="9"/>
  <c r="AB25" i="9"/>
  <c r="AS25" i="9" s="1"/>
  <c r="AT25" i="9" s="1"/>
  <c r="AC27" i="9"/>
  <c r="AX27" i="9" s="1"/>
  <c r="AY27" i="9" s="1"/>
  <c r="AB12" i="9"/>
  <c r="AS12" i="9" s="1"/>
  <c r="AT12" i="9" s="1"/>
  <c r="Y12" i="9"/>
  <c r="AA31" i="9"/>
  <c r="AN31" i="9" s="1"/>
  <c r="AO31" i="9" s="1"/>
  <c r="AP31" i="9" s="1"/>
  <c r="AA42" i="9"/>
  <c r="AN42" i="9" s="1"/>
  <c r="AO42" i="9" s="1"/>
  <c r="X42" i="9"/>
  <c r="AC26" i="9"/>
  <c r="AX26" i="9" s="1"/>
  <c r="AY26" i="9" s="1"/>
  <c r="Z26" i="9"/>
  <c r="Z7" i="9"/>
  <c r="Z10" i="9"/>
  <c r="X15" i="9"/>
  <c r="AA20" i="9"/>
  <c r="AN20" i="9" s="1"/>
  <c r="AO20" i="9" s="1"/>
  <c r="X20" i="9"/>
  <c r="AC35" i="9"/>
  <c r="AX35" i="9" s="1"/>
  <c r="AY35" i="9" s="1"/>
  <c r="Z41" i="9"/>
  <c r="AA32" i="9"/>
  <c r="AN32" i="9" s="1"/>
  <c r="AO32" i="9" s="1"/>
  <c r="Y33" i="9"/>
  <c r="AA46" i="9"/>
  <c r="AN46" i="9" s="1"/>
  <c r="AO46" i="9" s="1"/>
  <c r="AP46" i="9" s="1"/>
  <c r="AB49" i="9"/>
  <c r="AS49" i="9" s="1"/>
  <c r="AT49" i="9" s="1"/>
  <c r="AC45" i="9"/>
  <c r="AX45" i="9" s="1"/>
  <c r="AY45" i="9" s="1"/>
  <c r="AZ45" i="9" s="1"/>
  <c r="Z45" i="9"/>
  <c r="AA47" i="9"/>
  <c r="AN47" i="9" s="1"/>
  <c r="AO47" i="9" s="1"/>
  <c r="AP47" i="9" s="1"/>
  <c r="X47" i="9"/>
  <c r="AC40" i="9"/>
  <c r="AX40" i="9" s="1"/>
  <c r="AY40" i="9" s="1"/>
  <c r="Z40" i="9"/>
  <c r="AA38" i="8"/>
  <c r="AN38" i="8" s="1"/>
  <c r="AO38" i="8" s="1"/>
  <c r="Y35" i="8"/>
  <c r="AC27" i="8"/>
  <c r="X31" i="8"/>
  <c r="X27" i="8"/>
  <c r="AA30" i="8"/>
  <c r="X39" i="8"/>
  <c r="X29" i="8"/>
  <c r="AA42" i="8"/>
  <c r="AA16" i="8"/>
  <c r="X16" i="8"/>
  <c r="X11" i="8"/>
  <c r="Z49" i="8"/>
  <c r="AC49" i="8"/>
  <c r="AX49" i="8" s="1"/>
  <c r="AY49" i="8" s="1"/>
  <c r="Z25" i="8"/>
  <c r="AC46" i="8"/>
  <c r="AC18" i="8"/>
  <c r="AA26" i="8"/>
  <c r="X26" i="8"/>
  <c r="AA43" i="8"/>
  <c r="X43" i="8"/>
  <c r="AA28" i="8"/>
  <c r="X28" i="8"/>
  <c r="AN50" i="8"/>
  <c r="AO50" i="8" s="1"/>
  <c r="AP50" i="8" s="1"/>
  <c r="X41" i="8"/>
  <c r="AA41" i="8"/>
  <c r="AA49" i="8"/>
  <c r="X49" i="8"/>
  <c r="X25" i="8"/>
  <c r="X47" i="8"/>
  <c r="X32" i="8"/>
  <c r="X50" i="8"/>
  <c r="AN32" i="8"/>
  <c r="AO32" i="8" s="1"/>
  <c r="AN36" i="8"/>
  <c r="AO36" i="8" s="1"/>
  <c r="AP36" i="8" s="1"/>
  <c r="X48" i="8"/>
  <c r="X9" i="8"/>
  <c r="AA9" i="8"/>
  <c r="X13" i="8"/>
  <c r="AA13" i="8"/>
  <c r="X21" i="8"/>
  <c r="AA21" i="8"/>
  <c r="AN17" i="8"/>
  <c r="AO17" i="8" s="1"/>
  <c r="AP17" i="8" s="1"/>
  <c r="AA14" i="8"/>
  <c r="X14" i="8"/>
  <c r="X17" i="8"/>
  <c r="AA18" i="8"/>
  <c r="X12" i="8"/>
  <c r="X7" i="8"/>
  <c r="AA5" i="8"/>
  <c r="X5" i="8"/>
  <c r="R5" i="8"/>
  <c r="AG5" i="8" s="1"/>
  <c r="Z45" i="8"/>
  <c r="AC28" i="8"/>
  <c r="Z28" i="8"/>
  <c r="AX38" i="8"/>
  <c r="AY38" i="8" s="1"/>
  <c r="AZ38" i="8" s="1"/>
  <c r="AX50" i="8"/>
  <c r="AY50" i="8" s="1"/>
  <c r="AZ50" i="8" s="1"/>
  <c r="Z29" i="8"/>
  <c r="Z31" i="8"/>
  <c r="Z44" i="8"/>
  <c r="Z35" i="8"/>
  <c r="Z38" i="8"/>
  <c r="Z42" i="8"/>
  <c r="Z43" i="8"/>
  <c r="Z34" i="8"/>
  <c r="Z50" i="8"/>
  <c r="AX36" i="8"/>
  <c r="AY36" i="8" s="1"/>
  <c r="AZ36" i="8" s="1"/>
  <c r="Z39" i="8"/>
  <c r="Z40" i="8"/>
  <c r="AC48" i="8"/>
  <c r="AX48" i="8" s="1"/>
  <c r="AY48" i="8" s="1"/>
  <c r="Z21" i="8"/>
  <c r="Z20" i="8"/>
  <c r="AC9" i="8"/>
  <c r="AX9" i="8" s="1"/>
  <c r="AY9" i="8" s="1"/>
  <c r="AB48" i="8"/>
  <c r="AS48" i="8" s="1"/>
  <c r="AT48" i="8" s="1"/>
  <c r="Y44" i="8"/>
  <c r="Y33" i="8"/>
  <c r="Y6" i="8"/>
  <c r="AB6" i="8"/>
  <c r="AS6" i="8" s="1"/>
  <c r="AT6" i="8" s="1"/>
  <c r="Y12" i="8"/>
  <c r="AB12" i="8"/>
  <c r="AS12" i="8" s="1"/>
  <c r="AT12" i="8" s="1"/>
  <c r="AB11" i="8"/>
  <c r="AS11" i="8" s="1"/>
  <c r="AT11" i="8" s="1"/>
  <c r="AB10" i="8"/>
  <c r="AB19" i="8"/>
  <c r="AS19" i="8" s="1"/>
  <c r="AT19" i="8" s="1"/>
  <c r="Z5" i="8"/>
  <c r="AC5" i="8"/>
  <c r="AX5" i="8" s="1"/>
  <c r="AY5" i="8" s="1"/>
  <c r="Z11" i="8"/>
  <c r="AC11" i="8"/>
  <c r="AC6" i="8"/>
  <c r="Z6" i="8"/>
  <c r="Z14" i="8"/>
  <c r="AC14" i="8"/>
  <c r="AX14" i="8" s="1"/>
  <c r="AY14" i="8" s="1"/>
  <c r="AC22" i="8"/>
  <c r="AX22" i="8" s="1"/>
  <c r="AY22" i="8" s="1"/>
  <c r="Z22" i="8"/>
  <c r="Z7" i="8"/>
  <c r="AC8" i="8"/>
  <c r="AX8" i="8" s="1"/>
  <c r="AY8" i="8" s="1"/>
  <c r="Z19" i="8"/>
  <c r="Y43" i="8"/>
  <c r="AB43" i="8"/>
  <c r="Y26" i="8"/>
  <c r="AB26" i="8"/>
  <c r="AS26" i="8" s="1"/>
  <c r="AT26" i="8" s="1"/>
  <c r="Y49" i="8"/>
  <c r="AB49" i="8"/>
  <c r="AS49" i="8" s="1"/>
  <c r="AT49" i="8" s="1"/>
  <c r="Y32" i="8"/>
  <c r="AB46" i="8"/>
  <c r="Y50" i="8"/>
  <c r="Y27" i="8"/>
  <c r="AB36" i="8"/>
  <c r="AB37" i="8"/>
  <c r="Y47" i="8"/>
  <c r="AB38" i="8"/>
  <c r="Y7" i="8"/>
  <c r="AB7" i="8"/>
  <c r="AS7" i="8" s="1"/>
  <c r="AT7" i="8" s="1"/>
  <c r="AB15" i="8"/>
  <c r="AS15" i="8" s="1"/>
  <c r="AT15" i="8" s="1"/>
  <c r="Y15" i="8"/>
  <c r="Y17" i="8"/>
  <c r="AB17" i="8"/>
  <c r="AB20" i="8"/>
  <c r="Y21" i="8"/>
  <c r="Y22" i="8"/>
  <c r="Y18" i="8"/>
  <c r="AB5" i="8"/>
  <c r="Y5" i="8"/>
  <c r="AC10" i="8"/>
  <c r="Z10" i="8"/>
  <c r="AN12" i="8"/>
  <c r="AO12" i="8" s="1"/>
  <c r="AP12" i="8" s="1"/>
  <c r="AM22" i="8"/>
  <c r="AS22" i="8"/>
  <c r="AT22" i="8" s="1"/>
  <c r="AN34" i="8"/>
  <c r="AO34" i="8" s="1"/>
  <c r="AB16" i="8"/>
  <c r="AS16" i="8" s="1"/>
  <c r="AT16" i="8" s="1"/>
  <c r="Y16" i="8"/>
  <c r="AS27" i="8"/>
  <c r="AT27" i="8" s="1"/>
  <c r="AU27" i="8" s="1"/>
  <c r="AN31" i="8"/>
  <c r="AO31" i="8" s="1"/>
  <c r="AP31" i="8" s="1"/>
  <c r="AN46" i="8"/>
  <c r="AO46" i="8" s="1"/>
  <c r="AP46" i="8" s="1"/>
  <c r="AN25" i="8"/>
  <c r="AO25" i="8" s="1"/>
  <c r="AA15" i="8"/>
  <c r="X15" i="8"/>
  <c r="AS8" i="8"/>
  <c r="AT8" i="8" s="1"/>
  <c r="AM8" i="8"/>
  <c r="AC13" i="8"/>
  <c r="AX13" i="8" s="1"/>
  <c r="AY13" i="8" s="1"/>
  <c r="Z13" i="8"/>
  <c r="AA19" i="8"/>
  <c r="X19" i="8"/>
  <c r="AX34" i="8"/>
  <c r="AY34" i="8" s="1"/>
  <c r="AC17" i="8"/>
  <c r="Z17" i="8"/>
  <c r="AA22" i="8"/>
  <c r="X22" i="8"/>
  <c r="AN45" i="8"/>
  <c r="AO45" i="8" s="1"/>
  <c r="AP45" i="8" s="1"/>
  <c r="AA20" i="8"/>
  <c r="X20" i="8"/>
  <c r="AA6" i="8"/>
  <c r="X6" i="8"/>
  <c r="AX19" i="8"/>
  <c r="AY19" i="8" s="1"/>
  <c r="AZ19" i="8" s="1"/>
  <c r="AA8" i="8"/>
  <c r="X8" i="8"/>
  <c r="AM15" i="8"/>
  <c r="AN27" i="8"/>
  <c r="AO27" i="8" s="1"/>
  <c r="AP27" i="8" s="1"/>
  <c r="AS39" i="8"/>
  <c r="AT39" i="8" s="1"/>
  <c r="AU39" i="8" s="1"/>
  <c r="AS40" i="8"/>
  <c r="AT40" i="8" s="1"/>
  <c r="AU40" i="8" s="1"/>
  <c r="Y9" i="8"/>
  <c r="AB9" i="8"/>
  <c r="AS9" i="8" s="1"/>
  <c r="AT9" i="8" s="1"/>
  <c r="S5" i="8"/>
  <c r="AS13" i="8"/>
  <c r="AT13" i="8" s="1"/>
  <c r="AU13" i="8" s="1"/>
  <c r="Z12" i="8"/>
  <c r="Y13" i="8"/>
  <c r="AC16" i="8"/>
  <c r="AX16" i="8" s="1"/>
  <c r="AY16" i="8" s="1"/>
  <c r="AB25" i="8"/>
  <c r="AS25" i="8" s="1"/>
  <c r="AT25" i="8" s="1"/>
  <c r="AB28" i="8"/>
  <c r="AC30" i="8"/>
  <c r="AX30" i="8" s="1"/>
  <c r="AY30" i="8" s="1"/>
  <c r="AB31" i="8"/>
  <c r="AX32" i="8"/>
  <c r="AY32" i="8" s="1"/>
  <c r="AB34" i="8"/>
  <c r="AS34" i="8" s="1"/>
  <c r="AT34" i="8" s="1"/>
  <c r="AA35" i="8"/>
  <c r="AX35" i="8"/>
  <c r="AY35" i="8" s="1"/>
  <c r="AZ35" i="8" s="1"/>
  <c r="Z37" i="8"/>
  <c r="X40" i="8"/>
  <c r="AN44" i="8"/>
  <c r="AO44" i="8" s="1"/>
  <c r="AP44" i="8" s="1"/>
  <c r="AM48" i="8"/>
  <c r="AM49" i="8"/>
  <c r="AA10" i="8"/>
  <c r="AC15" i="8"/>
  <c r="AX15" i="8" s="1"/>
  <c r="AY15" i="8" s="1"/>
  <c r="AC33" i="8"/>
  <c r="AX33" i="8" s="1"/>
  <c r="AY33" i="8" s="1"/>
  <c r="Z36" i="8"/>
  <c r="AA37" i="8"/>
  <c r="AX37" i="8"/>
  <c r="AY37" i="8" s="1"/>
  <c r="AZ37" i="8" s="1"/>
  <c r="Y39" i="8"/>
  <c r="Y40" i="8"/>
  <c r="Z41" i="8"/>
  <c r="Y42" i="8"/>
  <c r="AS42" i="8"/>
  <c r="AT42" i="8" s="1"/>
  <c r="AU42" i="8" s="1"/>
  <c r="X44" i="8"/>
  <c r="X45" i="8"/>
  <c r="X46" i="8"/>
  <c r="AS44" i="8"/>
  <c r="AT44" i="8" s="1"/>
  <c r="AU44" i="8" s="1"/>
  <c r="AM32" i="8"/>
  <c r="AM33" i="8"/>
  <c r="AM34" i="8"/>
  <c r="AB41" i="8"/>
  <c r="AS41" i="8" s="1"/>
  <c r="AT41" i="8" s="1"/>
  <c r="AX42" i="8"/>
  <c r="AY42" i="8" s="1"/>
  <c r="AZ42" i="8" s="1"/>
  <c r="AX44" i="8"/>
  <c r="AY44" i="8" s="1"/>
  <c r="AZ44" i="8" s="1"/>
  <c r="AX45" i="8"/>
  <c r="AY45" i="8" s="1"/>
  <c r="AZ45" i="8" s="1"/>
  <c r="AS50" i="8"/>
  <c r="AT50" i="8" s="1"/>
  <c r="AU50" i="8" s="1"/>
  <c r="T5" i="8"/>
  <c r="AM14" i="8"/>
  <c r="AZ14" i="8" s="1"/>
  <c r="Z26" i="8"/>
  <c r="AN33" i="8"/>
  <c r="AO33" i="8" s="1"/>
  <c r="AX43" i="8"/>
  <c r="AY43" i="8" s="1"/>
  <c r="AZ43" i="8" s="1"/>
  <c r="AB45" i="8"/>
  <c r="Z47" i="8"/>
  <c r="Y29" i="8"/>
  <c r="X33" i="8"/>
  <c r="X34" i="8"/>
  <c r="Y14" i="8"/>
  <c r="AS14" i="8"/>
  <c r="AT14" i="8" s="1"/>
  <c r="AX25" i="8"/>
  <c r="AY25" i="8" s="1"/>
  <c r="AB30" i="8"/>
  <c r="AS30" i="8" s="1"/>
  <c r="AT30" i="8" s="1"/>
  <c r="AX31" i="8"/>
  <c r="AY31" i="8" s="1"/>
  <c r="AZ31" i="8" s="1"/>
  <c r="Z32" i="8"/>
  <c r="X36" i="8"/>
  <c r="X41" i="6"/>
  <c r="X39" i="6"/>
  <c r="AB36" i="6"/>
  <c r="X26" i="6"/>
  <c r="Y13" i="6"/>
  <c r="X50" i="6"/>
  <c r="X14" i="6"/>
  <c r="AX26" i="6"/>
  <c r="AY26" i="6" s="1"/>
  <c r="AZ26" i="6" s="1"/>
  <c r="X28" i="6"/>
  <c r="X31" i="6"/>
  <c r="AX41" i="6"/>
  <c r="AY41" i="6" s="1"/>
  <c r="AZ41" i="6" s="1"/>
  <c r="X13" i="6"/>
  <c r="AX37" i="6"/>
  <c r="AY37" i="6" s="1"/>
  <c r="AX11" i="6"/>
  <c r="AY11" i="6" s="1"/>
  <c r="AZ11" i="6" s="1"/>
  <c r="AX20" i="6"/>
  <c r="AY20" i="6" s="1"/>
  <c r="AZ20" i="6" s="1"/>
  <c r="AB25" i="6"/>
  <c r="AS25" i="6" s="1"/>
  <c r="AT25" i="6" s="1"/>
  <c r="AX30" i="6"/>
  <c r="AY30" i="6" s="1"/>
  <c r="AZ30" i="6" s="1"/>
  <c r="X32" i="6"/>
  <c r="AX34" i="6"/>
  <c r="AY34" i="6" s="1"/>
  <c r="AZ34" i="6" s="1"/>
  <c r="X37" i="6"/>
  <c r="AX40" i="6"/>
  <c r="AY40" i="6" s="1"/>
  <c r="AZ40" i="6" s="1"/>
  <c r="X45" i="6"/>
  <c r="AC48" i="6"/>
  <c r="AB37" i="6"/>
  <c r="AS37" i="6" s="1"/>
  <c r="AT37" i="6" s="1"/>
  <c r="AA43" i="6"/>
  <c r="AX12" i="6"/>
  <c r="AY12" i="6" s="1"/>
  <c r="AZ12" i="6" s="1"/>
  <c r="Z30" i="6"/>
  <c r="Z35" i="6"/>
  <c r="Z42" i="6"/>
  <c r="AX45" i="6"/>
  <c r="AY45" i="6" s="1"/>
  <c r="AZ45" i="6" s="1"/>
  <c r="AX49" i="6"/>
  <c r="AY49" i="6" s="1"/>
  <c r="AZ49" i="6" s="1"/>
  <c r="AB8" i="6"/>
  <c r="AS8" i="6" s="1"/>
  <c r="AT8" i="6" s="1"/>
  <c r="Z12" i="6"/>
  <c r="AC15" i="6"/>
  <c r="AA30" i="6"/>
  <c r="AM37" i="6"/>
  <c r="AB41" i="6"/>
  <c r="AS41" i="6" s="1"/>
  <c r="AT41" i="6" s="1"/>
  <c r="AU41" i="6" s="1"/>
  <c r="AX44" i="6"/>
  <c r="AY44" i="6" s="1"/>
  <c r="AZ44" i="6" s="1"/>
  <c r="Z49" i="6"/>
  <c r="AC8" i="6"/>
  <c r="AX8" i="6" s="1"/>
  <c r="AY8" i="6" s="1"/>
  <c r="AB12" i="6"/>
  <c r="AS12" i="6" s="1"/>
  <c r="AT12" i="6" s="1"/>
  <c r="AU12" i="6" s="1"/>
  <c r="Z26" i="6"/>
  <c r="AB30" i="6"/>
  <c r="AS30" i="6" s="1"/>
  <c r="AT30" i="6" s="1"/>
  <c r="AU30" i="6" s="1"/>
  <c r="AC31" i="6"/>
  <c r="AX31" i="6" s="1"/>
  <c r="AY31" i="6" s="1"/>
  <c r="AB44" i="6"/>
  <c r="X46" i="6"/>
  <c r="AB48" i="6"/>
  <c r="AS48" i="6" s="1"/>
  <c r="AT48" i="6" s="1"/>
  <c r="AU48" i="6" s="1"/>
  <c r="AB49" i="6"/>
  <c r="AS49" i="6" s="1"/>
  <c r="AT49" i="6" s="1"/>
  <c r="AU49" i="6" s="1"/>
  <c r="Z39" i="5"/>
  <c r="Z22" i="5"/>
  <c r="Z32" i="5"/>
  <c r="AB5" i="5"/>
  <c r="Z7" i="5"/>
  <c r="AC11" i="5"/>
  <c r="Z16" i="5"/>
  <c r="Z6" i="5"/>
  <c r="X8" i="5"/>
  <c r="Z12" i="5"/>
  <c r="AA18" i="5"/>
  <c r="X27" i="5"/>
  <c r="X35" i="5"/>
  <c r="AA6" i="5"/>
  <c r="Z8" i="5"/>
  <c r="AA14" i="5"/>
  <c r="AC19" i="5"/>
  <c r="AB29" i="5"/>
  <c r="AB36" i="5"/>
  <c r="Y7" i="5"/>
  <c r="AA10" i="5"/>
  <c r="AC15" i="5"/>
  <c r="Z20" i="5"/>
  <c r="Z30" i="5"/>
  <c r="Z37" i="5"/>
  <c r="AS11" i="5"/>
  <c r="AT11" i="5" s="1"/>
  <c r="AU11" i="5" s="1"/>
  <c r="AS7" i="5"/>
  <c r="AT7" i="5" s="1"/>
  <c r="AS19" i="5"/>
  <c r="AT19" i="5" s="1"/>
  <c r="AU19" i="5" s="1"/>
  <c r="AX5" i="5"/>
  <c r="AY5" i="5" s="1"/>
  <c r="AS17" i="5"/>
  <c r="AT17" i="5" s="1"/>
  <c r="AU17" i="5" s="1"/>
  <c r="AX7" i="5"/>
  <c r="AY7" i="5" s="1"/>
  <c r="AS15" i="5"/>
  <c r="AT15" i="5" s="1"/>
  <c r="AU15" i="5" s="1"/>
  <c r="AN8" i="5"/>
  <c r="AO8" i="5" s="1"/>
  <c r="AP8" i="5" s="1"/>
  <c r="AN7" i="5"/>
  <c r="AO7" i="5" s="1"/>
  <c r="AN19" i="5"/>
  <c r="AO19" i="5" s="1"/>
  <c r="AP19" i="5" s="1"/>
  <c r="AN29" i="5"/>
  <c r="AO29" i="5" s="1"/>
  <c r="AP29" i="5" s="1"/>
  <c r="AN36" i="5"/>
  <c r="AO36" i="5" s="1"/>
  <c r="AP36" i="5" s="1"/>
  <c r="AA44" i="5"/>
  <c r="X44" i="5"/>
  <c r="Z21" i="5"/>
  <c r="AC21" i="5"/>
  <c r="Z31" i="5"/>
  <c r="AC31" i="5"/>
  <c r="Z38" i="5"/>
  <c r="AC38" i="5"/>
  <c r="Z42" i="5"/>
  <c r="AC42" i="5"/>
  <c r="Z50" i="5"/>
  <c r="AC50" i="5"/>
  <c r="Y42" i="5"/>
  <c r="AB42" i="5"/>
  <c r="Y50" i="5"/>
  <c r="AB50" i="5"/>
  <c r="Z5" i="5"/>
  <c r="Y17" i="5"/>
  <c r="X20" i="5"/>
  <c r="AA20" i="5"/>
  <c r="X34" i="5"/>
  <c r="AA34" i="5"/>
  <c r="X45" i="5"/>
  <c r="AA45" i="5"/>
  <c r="AX28" i="5"/>
  <c r="AY28" i="5" s="1"/>
  <c r="AZ28" i="5" s="1"/>
  <c r="AB9" i="5"/>
  <c r="X11" i="5"/>
  <c r="AB13" i="5"/>
  <c r="X15" i="5"/>
  <c r="X19" i="5"/>
  <c r="X25" i="5"/>
  <c r="AB27" i="5"/>
  <c r="X33" i="5"/>
  <c r="AB35" i="5"/>
  <c r="AN5" i="5"/>
  <c r="AO5" i="5" s="1"/>
  <c r="AN9" i="5"/>
  <c r="AO9" i="5" s="1"/>
  <c r="AP9" i="5" s="1"/>
  <c r="AN13" i="5"/>
  <c r="AO13" i="5" s="1"/>
  <c r="AP13" i="5" s="1"/>
  <c r="AN17" i="5"/>
  <c r="AO17" i="5" s="1"/>
  <c r="AP17" i="5" s="1"/>
  <c r="AN21" i="5"/>
  <c r="AO21" i="5" s="1"/>
  <c r="AP21" i="5" s="1"/>
  <c r="AN27" i="5"/>
  <c r="AO27" i="5" s="1"/>
  <c r="AP27" i="5" s="1"/>
  <c r="AN31" i="5"/>
  <c r="AO31" i="5" s="1"/>
  <c r="AP31" i="5" s="1"/>
  <c r="AN35" i="5"/>
  <c r="AO35" i="5" s="1"/>
  <c r="AP35" i="5" s="1"/>
  <c r="AN38" i="5"/>
  <c r="AO38" i="5" s="1"/>
  <c r="AP38" i="5" s="1"/>
  <c r="AA42" i="5"/>
  <c r="X42" i="5"/>
  <c r="AA46" i="5"/>
  <c r="X46" i="5"/>
  <c r="AA50" i="5"/>
  <c r="X50" i="5"/>
  <c r="Z25" i="5"/>
  <c r="AC25" i="5"/>
  <c r="Z29" i="5"/>
  <c r="AC29" i="5"/>
  <c r="Z33" i="5"/>
  <c r="AC33" i="5"/>
  <c r="Z36" i="5"/>
  <c r="AC36" i="5"/>
  <c r="Z40" i="5"/>
  <c r="AC40" i="5"/>
  <c r="Z44" i="5"/>
  <c r="AC44" i="5"/>
  <c r="Z48" i="5"/>
  <c r="AC48" i="5"/>
  <c r="Y40" i="5"/>
  <c r="AB40" i="5"/>
  <c r="Y44" i="5"/>
  <c r="AB44" i="5"/>
  <c r="Y48" i="5"/>
  <c r="AB48" i="5"/>
  <c r="X5" i="5"/>
  <c r="AB6" i="5"/>
  <c r="AC9" i="5"/>
  <c r="Y11" i="5"/>
  <c r="AA12" i="5"/>
  <c r="AC13" i="5"/>
  <c r="Y15" i="5"/>
  <c r="AA16" i="5"/>
  <c r="AC17" i="5"/>
  <c r="Y19" i="5"/>
  <c r="X21" i="5"/>
  <c r="AB25" i="5"/>
  <c r="Z28" i="5"/>
  <c r="X31" i="5"/>
  <c r="AB33" i="5"/>
  <c r="X38" i="5"/>
  <c r="AN11" i="5"/>
  <c r="AO11" i="5" s="1"/>
  <c r="AP11" i="5" s="1"/>
  <c r="AN15" i="5"/>
  <c r="AO15" i="5" s="1"/>
  <c r="AP15" i="5" s="1"/>
  <c r="AN25" i="5"/>
  <c r="AO25" i="5" s="1"/>
  <c r="AN33" i="5"/>
  <c r="AO33" i="5" s="1"/>
  <c r="AP33" i="5" s="1"/>
  <c r="AA40" i="5"/>
  <c r="X40" i="5"/>
  <c r="AA48" i="5"/>
  <c r="X48" i="5"/>
  <c r="Z27" i="5"/>
  <c r="AC27" i="5"/>
  <c r="Z35" i="5"/>
  <c r="AC35" i="5"/>
  <c r="Z46" i="5"/>
  <c r="AC46" i="5"/>
  <c r="Y46" i="5"/>
  <c r="AB46" i="5"/>
  <c r="X26" i="5"/>
  <c r="AA26" i="5"/>
  <c r="X30" i="5"/>
  <c r="AA30" i="5"/>
  <c r="X37" i="5"/>
  <c r="AA37" i="5"/>
  <c r="X41" i="5"/>
  <c r="AA41" i="5"/>
  <c r="X49" i="5"/>
  <c r="AA49" i="5"/>
  <c r="AX6" i="5"/>
  <c r="AY6" i="5" s="1"/>
  <c r="AZ6" i="5" s="1"/>
  <c r="AX10" i="5"/>
  <c r="AY10" i="5" s="1"/>
  <c r="AZ10" i="5" s="1"/>
  <c r="AX14" i="5"/>
  <c r="AY14" i="5" s="1"/>
  <c r="AZ14" i="5" s="1"/>
  <c r="AX18" i="5"/>
  <c r="AY18" i="5" s="1"/>
  <c r="AZ18" i="5" s="1"/>
  <c r="AX22" i="5"/>
  <c r="AY22" i="5" s="1"/>
  <c r="AZ22" i="5" s="1"/>
  <c r="AX32" i="5"/>
  <c r="AY32" i="5" s="1"/>
  <c r="AZ32" i="5" s="1"/>
  <c r="AX39" i="5"/>
  <c r="AY39" i="5" s="1"/>
  <c r="AZ39" i="5" s="1"/>
  <c r="AC43" i="5"/>
  <c r="Z43" i="5"/>
  <c r="AC47" i="5"/>
  <c r="Z47" i="5"/>
  <c r="Y10" i="5"/>
  <c r="AB10" i="5"/>
  <c r="Y14" i="5"/>
  <c r="AB14" i="5"/>
  <c r="Y18" i="5"/>
  <c r="AB18" i="5"/>
  <c r="Y22" i="5"/>
  <c r="AB22" i="5"/>
  <c r="Y28" i="5"/>
  <c r="AB28" i="5"/>
  <c r="Y32" i="5"/>
  <c r="AB32" i="5"/>
  <c r="Y39" i="5"/>
  <c r="AB39" i="5"/>
  <c r="Y43" i="5"/>
  <c r="AB43" i="5"/>
  <c r="Y47" i="5"/>
  <c r="AB47" i="5"/>
  <c r="X22" i="5"/>
  <c r="AA22" i="5"/>
  <c r="X28" i="5"/>
  <c r="AA28" i="5"/>
  <c r="X32" i="5"/>
  <c r="AA32" i="5"/>
  <c r="X39" i="5"/>
  <c r="AA39" i="5"/>
  <c r="X43" i="5"/>
  <c r="AA43" i="5"/>
  <c r="X47" i="5"/>
  <c r="AA47" i="5"/>
  <c r="AX8" i="5"/>
  <c r="AY8" i="5" s="1"/>
  <c r="AZ8" i="5" s="1"/>
  <c r="AX12" i="5"/>
  <c r="AY12" i="5" s="1"/>
  <c r="AZ12" i="5" s="1"/>
  <c r="AX16" i="5"/>
  <c r="AY16" i="5" s="1"/>
  <c r="AZ16" i="5" s="1"/>
  <c r="AX20" i="5"/>
  <c r="AY20" i="5" s="1"/>
  <c r="AZ20" i="5" s="1"/>
  <c r="AX26" i="5"/>
  <c r="AY26" i="5" s="1"/>
  <c r="AZ26" i="5" s="1"/>
  <c r="AX30" i="5"/>
  <c r="AY30" i="5" s="1"/>
  <c r="AZ30" i="5" s="1"/>
  <c r="AX34" i="5"/>
  <c r="AY34" i="5" s="1"/>
  <c r="AZ34" i="5" s="1"/>
  <c r="AX37" i="5"/>
  <c r="AY37" i="5" s="1"/>
  <c r="AZ37" i="5" s="1"/>
  <c r="AC41" i="5"/>
  <c r="Z41" i="5"/>
  <c r="AC45" i="5"/>
  <c r="Z45" i="5"/>
  <c r="AC49" i="5"/>
  <c r="Z49" i="5"/>
  <c r="Y8" i="5"/>
  <c r="AB8" i="5"/>
  <c r="Y12" i="5"/>
  <c r="AB12" i="5"/>
  <c r="Y16" i="5"/>
  <c r="AB16" i="5"/>
  <c r="Y20" i="5"/>
  <c r="AB20" i="5"/>
  <c r="Y26" i="5"/>
  <c r="AB26" i="5"/>
  <c r="Y30" i="5"/>
  <c r="AB30" i="5"/>
  <c r="Y34" i="5"/>
  <c r="AB34" i="5"/>
  <c r="Y37" i="5"/>
  <c r="AB37" i="5"/>
  <c r="Y41" i="5"/>
  <c r="AB41" i="5"/>
  <c r="Y45" i="5"/>
  <c r="AB45" i="5"/>
  <c r="Y49" i="5"/>
  <c r="AB49" i="5"/>
  <c r="X7" i="5"/>
  <c r="X9" i="5"/>
  <c r="Z10" i="5"/>
  <c r="X13" i="5"/>
  <c r="Z14" i="5"/>
  <c r="X17" i="5"/>
  <c r="Z18" i="5"/>
  <c r="AB21" i="5"/>
  <c r="Z26" i="5"/>
  <c r="X29" i="5"/>
  <c r="AB31" i="5"/>
  <c r="Z34" i="5"/>
  <c r="X36" i="5"/>
  <c r="AB38" i="5"/>
  <c r="AT13" i="1"/>
  <c r="AU13" i="1" s="1"/>
  <c r="AV13" i="1" s="1"/>
  <c r="AY12" i="1"/>
  <c r="AZ12" i="1" s="1"/>
  <c r="BA12" i="1" s="1"/>
  <c r="AT21" i="1"/>
  <c r="AU21" i="1" s="1"/>
  <c r="AV21" i="1" s="1"/>
  <c r="AT40" i="1"/>
  <c r="AU40" i="1" s="1"/>
  <c r="AV40" i="1" s="1"/>
  <c r="AT48" i="1"/>
  <c r="AU48" i="1" s="1"/>
  <c r="AV48" i="1" s="1"/>
  <c r="AY30" i="1"/>
  <c r="AZ30" i="1" s="1"/>
  <c r="Y18" i="1"/>
  <c r="Z9" i="1"/>
  <c r="Z27" i="1"/>
  <c r="Z42" i="1"/>
  <c r="AA12" i="1"/>
  <c r="AA30" i="1"/>
  <c r="AA45" i="1"/>
  <c r="AC10" i="1"/>
  <c r="AT10" i="1" s="1"/>
  <c r="AU10" i="1" s="1"/>
  <c r="AC28" i="1"/>
  <c r="AC43" i="1"/>
  <c r="AT43" i="1" s="1"/>
  <c r="AU43" i="1" s="1"/>
  <c r="AD21" i="1"/>
  <c r="AD36" i="1"/>
  <c r="Y20" i="1"/>
  <c r="Y37" i="1"/>
  <c r="Z13" i="1"/>
  <c r="Z31" i="1"/>
  <c r="Z46" i="1"/>
  <c r="AA19" i="1"/>
  <c r="AB36" i="1"/>
  <c r="AC17" i="1"/>
  <c r="AT17" i="1" s="1"/>
  <c r="AU17" i="1" s="1"/>
  <c r="AC35" i="1"/>
  <c r="AT35" i="1" s="1"/>
  <c r="AU35" i="1" s="1"/>
  <c r="AC50" i="1"/>
  <c r="AT50" i="1" s="1"/>
  <c r="AU50" i="1" s="1"/>
  <c r="AD13" i="1"/>
  <c r="AD29" i="1"/>
  <c r="AD37" i="1"/>
  <c r="AD46" i="1"/>
  <c r="Y10" i="1"/>
  <c r="Y28" i="1"/>
  <c r="Y43" i="1"/>
  <c r="AA20" i="1"/>
  <c r="AC6" i="1"/>
  <c r="AT6" i="1" s="1"/>
  <c r="AU6" i="1" s="1"/>
  <c r="AC18" i="1"/>
  <c r="AT18" i="1" s="1"/>
  <c r="AU18" i="1" s="1"/>
  <c r="AD5" i="1"/>
  <c r="AD38" i="1"/>
  <c r="AY20" i="1"/>
  <c r="AZ20" i="1" s="1"/>
  <c r="BA20" i="1" s="1"/>
  <c r="Y12" i="1"/>
  <c r="Y30" i="1"/>
  <c r="Y45" i="1"/>
  <c r="Z21" i="1"/>
  <c r="Z38" i="1"/>
  <c r="AA11" i="1"/>
  <c r="AA44" i="1"/>
  <c r="AD31" i="1"/>
  <c r="X34" i="6"/>
  <c r="X38" i="6"/>
  <c r="X49" i="6"/>
  <c r="X35" i="6"/>
  <c r="X47" i="6"/>
  <c r="X27" i="6"/>
  <c r="X42" i="6"/>
  <c r="AA10" i="6"/>
  <c r="AA18" i="6"/>
  <c r="X12" i="6"/>
  <c r="X6" i="6"/>
  <c r="X20" i="6"/>
  <c r="X22" i="6"/>
  <c r="R5" i="6"/>
  <c r="AG5" i="6" s="1"/>
  <c r="X21" i="6"/>
  <c r="Z29" i="6"/>
  <c r="Z40" i="6"/>
  <c r="Z27" i="6"/>
  <c r="Z41" i="6"/>
  <c r="Z46" i="6"/>
  <c r="Z38" i="6"/>
  <c r="Z50" i="6"/>
  <c r="Z44" i="6"/>
  <c r="Z33" i="6"/>
  <c r="Z34" i="6"/>
  <c r="Z36" i="6"/>
  <c r="AX50" i="6"/>
  <c r="AY50" i="6" s="1"/>
  <c r="AZ50" i="6" s="1"/>
  <c r="Z37" i="6"/>
  <c r="Z45" i="6"/>
  <c r="AC10" i="6"/>
  <c r="AX10" i="6" s="1"/>
  <c r="AY10" i="6" s="1"/>
  <c r="AZ10" i="6" s="1"/>
  <c r="AC19" i="6"/>
  <c r="AX19" i="6" s="1"/>
  <c r="AY19" i="6" s="1"/>
  <c r="Z22" i="6"/>
  <c r="AC17" i="6"/>
  <c r="AC18" i="6"/>
  <c r="AX18" i="6" s="1"/>
  <c r="AY18" i="6" s="1"/>
  <c r="AZ18" i="6" s="1"/>
  <c r="AC16" i="6"/>
  <c r="AX16" i="6" s="1"/>
  <c r="AY16" i="6" s="1"/>
  <c r="Z11" i="6"/>
  <c r="Z20" i="6"/>
  <c r="Y50" i="6"/>
  <c r="AB45" i="6"/>
  <c r="AS45" i="6" s="1"/>
  <c r="AT45" i="6" s="1"/>
  <c r="AB32" i="6"/>
  <c r="AS32" i="6" s="1"/>
  <c r="AT32" i="6" s="1"/>
  <c r="AB33" i="6"/>
  <c r="AS33" i="6" s="1"/>
  <c r="AT33" i="6" s="1"/>
  <c r="AU33" i="6" s="1"/>
  <c r="AB26" i="6"/>
  <c r="AS26" i="6" s="1"/>
  <c r="AT26" i="6" s="1"/>
  <c r="AU26" i="6" s="1"/>
  <c r="AB34" i="6"/>
  <c r="AS34" i="6" s="1"/>
  <c r="AT34" i="6" s="1"/>
  <c r="AU34" i="6" s="1"/>
  <c r="AB47" i="6"/>
  <c r="AS47" i="6" s="1"/>
  <c r="AT47" i="6" s="1"/>
  <c r="AB17" i="6"/>
  <c r="AS17" i="6" s="1"/>
  <c r="AT17" i="6" s="1"/>
  <c r="AU17" i="6" s="1"/>
  <c r="AB20" i="6"/>
  <c r="AS20" i="6" s="1"/>
  <c r="AT20" i="6" s="1"/>
  <c r="AU20" i="6" s="1"/>
  <c r="AB9" i="6"/>
  <c r="AS9" i="6" s="1"/>
  <c r="AT9" i="6" s="1"/>
  <c r="AU9" i="6" s="1"/>
  <c r="Y11" i="6"/>
  <c r="Y19" i="6"/>
  <c r="AB10" i="6"/>
  <c r="AS10" i="6" s="1"/>
  <c r="AT10" i="6" s="1"/>
  <c r="AU10" i="6" s="1"/>
  <c r="AB18" i="6"/>
  <c r="AS18" i="6" s="1"/>
  <c r="AT18" i="6" s="1"/>
  <c r="Y21" i="6"/>
  <c r="Y5" i="6"/>
  <c r="AB22" i="6"/>
  <c r="AS22" i="6" s="1"/>
  <c r="AT22" i="6" s="1"/>
  <c r="AU22" i="6" s="1"/>
  <c r="Y22" i="6"/>
  <c r="AB42" i="6"/>
  <c r="AS42" i="6" s="1"/>
  <c r="AT42" i="6" s="1"/>
  <c r="Y42" i="6"/>
  <c r="AX46" i="6"/>
  <c r="AY46" i="6" s="1"/>
  <c r="AM46" i="6"/>
  <c r="AM32" i="6"/>
  <c r="S5" i="6"/>
  <c r="Y7" i="6"/>
  <c r="AB31" i="6"/>
  <c r="AS31" i="6" s="1"/>
  <c r="AT31" i="6" s="1"/>
  <c r="Y31" i="6"/>
  <c r="AX35" i="6"/>
  <c r="AY35" i="6" s="1"/>
  <c r="AM35" i="6"/>
  <c r="AP35" i="6" s="1"/>
  <c r="T5" i="6"/>
  <c r="AM5" i="6"/>
  <c r="AX6" i="6"/>
  <c r="AY6" i="6" s="1"/>
  <c r="AZ6" i="6" s="1"/>
  <c r="AC7" i="6"/>
  <c r="AX7" i="6" s="1"/>
  <c r="AY7" i="6" s="1"/>
  <c r="X8" i="6"/>
  <c r="AX14" i="6"/>
  <c r="AY14" i="6" s="1"/>
  <c r="X16" i="6"/>
  <c r="AB39" i="6"/>
  <c r="AS39" i="6" s="1"/>
  <c r="AT39" i="6" s="1"/>
  <c r="AB46" i="6"/>
  <c r="AS46" i="6" s="1"/>
  <c r="AT46" i="6" s="1"/>
  <c r="AU46" i="6" s="1"/>
  <c r="Y46" i="6"/>
  <c r="AM14" i="6"/>
  <c r="AP14" i="6" s="1"/>
  <c r="AB16" i="6"/>
  <c r="AS16" i="6" s="1"/>
  <c r="AT16" i="6" s="1"/>
  <c r="AX22" i="6"/>
  <c r="AY22" i="6" s="1"/>
  <c r="AZ22" i="6" s="1"/>
  <c r="AC25" i="6"/>
  <c r="AX25" i="6" s="1"/>
  <c r="AY25" i="6" s="1"/>
  <c r="AM25" i="6"/>
  <c r="AX27" i="6"/>
  <c r="AY27" i="6" s="1"/>
  <c r="AM27" i="6"/>
  <c r="AM39" i="6"/>
  <c r="AB40" i="6"/>
  <c r="AS40" i="6" s="1"/>
  <c r="AT40" i="6" s="1"/>
  <c r="AU40" i="6" s="1"/>
  <c r="Z6" i="6"/>
  <c r="AA25" i="6"/>
  <c r="AX29" i="6"/>
  <c r="AY29" i="6" s="1"/>
  <c r="AZ29" i="6" s="1"/>
  <c r="AM7" i="6"/>
  <c r="AA9" i="6"/>
  <c r="AA11" i="6"/>
  <c r="AC13" i="6"/>
  <c r="AX13" i="6" s="1"/>
  <c r="AY13" i="6" s="1"/>
  <c r="Z13" i="6"/>
  <c r="AA17" i="6"/>
  <c r="AA19" i="6"/>
  <c r="X25" i="6"/>
  <c r="AB28" i="6"/>
  <c r="AS28" i="6" s="1"/>
  <c r="AT28" i="6" s="1"/>
  <c r="AX33" i="6"/>
  <c r="AY33" i="6" s="1"/>
  <c r="AZ33" i="6" s="1"/>
  <c r="AB35" i="6"/>
  <c r="AS35" i="6" s="1"/>
  <c r="AT35" i="6" s="1"/>
  <c r="Y35" i="6"/>
  <c r="AX36" i="6"/>
  <c r="AY36" i="6" s="1"/>
  <c r="AZ36" i="6" s="1"/>
  <c r="AB38" i="6"/>
  <c r="AS38" i="6" s="1"/>
  <c r="AT38" i="6" s="1"/>
  <c r="Y38" i="6"/>
  <c r="AX42" i="6"/>
  <c r="AY42" i="6" s="1"/>
  <c r="AM42" i="6"/>
  <c r="Y15" i="6"/>
  <c r="AA5" i="6"/>
  <c r="X5" i="6"/>
  <c r="AC5" i="6"/>
  <c r="AX5" i="6" s="1"/>
  <c r="AY5" i="6" s="1"/>
  <c r="AM8" i="6"/>
  <c r="AM16" i="6"/>
  <c r="AC21" i="6"/>
  <c r="Z21" i="6"/>
  <c r="AM28" i="6"/>
  <c r="AB29" i="6"/>
  <c r="AB43" i="6"/>
  <c r="AS43" i="6" s="1"/>
  <c r="AT43" i="6" s="1"/>
  <c r="Z14" i="6"/>
  <c r="AX38" i="6"/>
  <c r="AY38" i="6" s="1"/>
  <c r="AM38" i="6"/>
  <c r="AM47" i="6"/>
  <c r="AP47" i="6" s="1"/>
  <c r="AB6" i="6"/>
  <c r="AS6" i="6" s="1"/>
  <c r="AT6" i="6" s="1"/>
  <c r="Y6" i="6"/>
  <c r="AA7" i="6"/>
  <c r="X7" i="6"/>
  <c r="AC9" i="6"/>
  <c r="AB14" i="6"/>
  <c r="AS14" i="6" s="1"/>
  <c r="AT14" i="6" s="1"/>
  <c r="AU14" i="6" s="1"/>
  <c r="Y14" i="6"/>
  <c r="AA15" i="6"/>
  <c r="X15" i="6"/>
  <c r="AB27" i="6"/>
  <c r="AS27" i="6" s="1"/>
  <c r="AT27" i="6" s="1"/>
  <c r="AU27" i="6" s="1"/>
  <c r="Y27" i="6"/>
  <c r="AM31" i="6"/>
  <c r="AM43" i="6"/>
  <c r="AC28" i="6"/>
  <c r="AX28" i="6" s="1"/>
  <c r="AY28" i="6" s="1"/>
  <c r="AA29" i="6"/>
  <c r="AC32" i="6"/>
  <c r="AX32" i="6" s="1"/>
  <c r="AY32" i="6" s="1"/>
  <c r="AA33" i="6"/>
  <c r="AA36" i="6"/>
  <c r="AC39" i="6"/>
  <c r="AX39" i="6" s="1"/>
  <c r="AY39" i="6" s="1"/>
  <c r="AA40" i="6"/>
  <c r="AC43" i="6"/>
  <c r="AX43" i="6" s="1"/>
  <c r="AY43" i="6" s="1"/>
  <c r="AZ43" i="6" s="1"/>
  <c r="AA44" i="6"/>
  <c r="AC47" i="6"/>
  <c r="AX47" i="6" s="1"/>
  <c r="AY47" i="6" s="1"/>
  <c r="AA48" i="6"/>
  <c r="AO47" i="1"/>
  <c r="AP47" i="1" s="1"/>
  <c r="AT49" i="1"/>
  <c r="AU49" i="1" s="1"/>
  <c r="AV49" i="1" s="1"/>
  <c r="AO14" i="1"/>
  <c r="AP14" i="1" s="1"/>
  <c r="AQ14" i="1" s="1"/>
  <c r="AO32" i="1"/>
  <c r="AP32" i="1" s="1"/>
  <c r="AQ32" i="1" s="1"/>
  <c r="AT41" i="1"/>
  <c r="AU41" i="1" s="1"/>
  <c r="AV41" i="1" s="1"/>
  <c r="AO13" i="1"/>
  <c r="AP13" i="1" s="1"/>
  <c r="AQ13" i="1" s="1"/>
  <c r="AO31" i="1"/>
  <c r="AP31" i="1" s="1"/>
  <c r="AO46" i="1"/>
  <c r="AP46" i="1" s="1"/>
  <c r="AN45" i="1"/>
  <c r="AY45" i="1"/>
  <c r="AZ45" i="1" s="1"/>
  <c r="AN31" i="1"/>
  <c r="AT31" i="1"/>
  <c r="AU31" i="1" s="1"/>
  <c r="Z33" i="1"/>
  <c r="AB5" i="1"/>
  <c r="AO5" i="1" s="1"/>
  <c r="AC8" i="1"/>
  <c r="AT8" i="1" s="1"/>
  <c r="AU8" i="1" s="1"/>
  <c r="AO10" i="1"/>
  <c r="AP10" i="1" s="1"/>
  <c r="AO18" i="1"/>
  <c r="AP18" i="1" s="1"/>
  <c r="AO28" i="1"/>
  <c r="AP28" i="1" s="1"/>
  <c r="AQ28" i="1" s="1"/>
  <c r="AO43" i="1"/>
  <c r="AP43" i="1" s="1"/>
  <c r="Y13" i="1"/>
  <c r="Y31" i="1"/>
  <c r="Y46" i="1"/>
  <c r="Z16" i="1"/>
  <c r="Z34" i="1"/>
  <c r="Z49" i="1"/>
  <c r="AB6" i="1"/>
  <c r="AB22" i="1"/>
  <c r="AB39" i="1"/>
  <c r="AN17" i="1"/>
  <c r="AN39" i="1"/>
  <c r="AC26" i="1"/>
  <c r="Z20" i="1"/>
  <c r="AC20" i="1"/>
  <c r="Z37" i="1"/>
  <c r="AC37" i="1"/>
  <c r="AT37" i="1" s="1"/>
  <c r="AU37" i="1" s="1"/>
  <c r="AN7" i="1"/>
  <c r="AT7" i="1"/>
  <c r="AU7" i="1" s="1"/>
  <c r="AN27" i="1"/>
  <c r="AT27" i="1"/>
  <c r="AU27" i="1" s="1"/>
  <c r="AN35" i="1"/>
  <c r="AA6" i="1"/>
  <c r="AD6" i="1"/>
  <c r="AA14" i="1"/>
  <c r="AD14" i="1"/>
  <c r="AA22" i="1"/>
  <c r="AD22" i="1"/>
  <c r="AA32" i="1"/>
  <c r="AD32" i="1"/>
  <c r="AA39" i="1"/>
  <c r="AD39" i="1"/>
  <c r="AA47" i="1"/>
  <c r="AD47" i="1"/>
  <c r="Y14" i="1"/>
  <c r="Y32" i="1"/>
  <c r="Y47" i="1"/>
  <c r="AB7" i="1"/>
  <c r="AB25" i="1"/>
  <c r="AB40" i="1"/>
  <c r="AC47" i="1"/>
  <c r="AT47" i="1" s="1"/>
  <c r="AU47" i="1" s="1"/>
  <c r="AN37" i="1"/>
  <c r="AN11" i="1"/>
  <c r="AY11" i="1"/>
  <c r="AZ11" i="1" s="1"/>
  <c r="AN47" i="1"/>
  <c r="Z15" i="1"/>
  <c r="Z48" i="1"/>
  <c r="AA18" i="1"/>
  <c r="AB21" i="1"/>
  <c r="AB38" i="1"/>
  <c r="Z12" i="1"/>
  <c r="AC12" i="1"/>
  <c r="Z30" i="1"/>
  <c r="AC30" i="1"/>
  <c r="AT30" i="1" s="1"/>
  <c r="AU30" i="1" s="1"/>
  <c r="Z45" i="1"/>
  <c r="AC45" i="1"/>
  <c r="AT45" i="1" s="1"/>
  <c r="AU45" i="1" s="1"/>
  <c r="AN15" i="1"/>
  <c r="AT15" i="1"/>
  <c r="AU15" i="1" s="1"/>
  <c r="AN43" i="1"/>
  <c r="AY43" i="1"/>
  <c r="AZ43" i="1" s="1"/>
  <c r="AO12" i="1"/>
  <c r="AP12" i="1" s="1"/>
  <c r="AQ12" i="1" s="1"/>
  <c r="AO20" i="1"/>
  <c r="AP20" i="1" s="1"/>
  <c r="AQ20" i="1" s="1"/>
  <c r="AO30" i="1"/>
  <c r="AP30" i="1" s="1"/>
  <c r="AO37" i="1"/>
  <c r="AP37" i="1" s="1"/>
  <c r="AO45" i="1"/>
  <c r="AP45" i="1" s="1"/>
  <c r="Z5" i="1"/>
  <c r="AA8" i="1"/>
  <c r="AA26" i="1"/>
  <c r="AA41" i="1"/>
  <c r="AB11" i="1"/>
  <c r="AB29" i="1"/>
  <c r="AB44" i="1"/>
  <c r="AC14" i="1"/>
  <c r="AT14" i="1" s="1"/>
  <c r="AU14" i="1" s="1"/>
  <c r="AC32" i="1"/>
  <c r="AT32" i="1" s="1"/>
  <c r="AU32" i="1" s="1"/>
  <c r="AN9" i="1"/>
  <c r="AT9" i="1"/>
  <c r="AU9" i="1" s="1"/>
  <c r="Z7" i="1"/>
  <c r="Z25" i="1"/>
  <c r="Z40" i="1"/>
  <c r="AA10" i="1"/>
  <c r="AA28" i="1"/>
  <c r="AA43" i="1"/>
  <c r="Z39" i="1"/>
  <c r="AC39" i="1"/>
  <c r="AT39" i="1" s="1"/>
  <c r="AU39" i="1" s="1"/>
  <c r="AN29" i="1"/>
  <c r="AT25" i="1"/>
  <c r="AU25" i="1" s="1"/>
  <c r="AT33" i="1"/>
  <c r="AU33" i="1" s="1"/>
  <c r="AV33" i="1" s="1"/>
  <c r="AN10" i="1"/>
  <c r="AY10" i="1"/>
  <c r="AZ10" i="1" s="1"/>
  <c r="AN18" i="1"/>
  <c r="AY18" i="1"/>
  <c r="AZ18" i="1" s="1"/>
  <c r="AN30" i="1"/>
  <c r="AN38" i="1"/>
  <c r="AT38" i="1"/>
  <c r="AU38" i="1" s="1"/>
  <c r="AN46" i="1"/>
  <c r="AQ46" i="1" s="1"/>
  <c r="AT46" i="1"/>
  <c r="AU46" i="1" s="1"/>
  <c r="AA9" i="1"/>
  <c r="AD9" i="1"/>
  <c r="AA17" i="1"/>
  <c r="AD17" i="1"/>
  <c r="AA27" i="1"/>
  <c r="AD27" i="1"/>
  <c r="AA35" i="1"/>
  <c r="AD35" i="1"/>
  <c r="AA42" i="1"/>
  <c r="AD42" i="1"/>
  <c r="AA50" i="1"/>
  <c r="AD50" i="1"/>
  <c r="Z41" i="1"/>
  <c r="AB15" i="1"/>
  <c r="AB33" i="1"/>
  <c r="AB48" i="1"/>
  <c r="AN19" i="1"/>
  <c r="AY19" i="1"/>
  <c r="AZ19" i="1" s="1"/>
  <c r="AA16" i="1"/>
  <c r="AA34" i="1"/>
  <c r="AA49" i="1"/>
  <c r="AB19" i="1"/>
  <c r="AC22" i="1"/>
  <c r="AT22" i="1" s="1"/>
  <c r="AU22" i="1" s="1"/>
  <c r="AB8" i="1"/>
  <c r="AB16" i="1"/>
  <c r="AB26" i="1"/>
  <c r="AB34" i="1"/>
  <c r="AB41" i="1"/>
  <c r="AB49" i="1"/>
  <c r="AC11" i="1"/>
  <c r="AT11" i="1" s="1"/>
  <c r="AU11" i="1" s="1"/>
  <c r="AC19" i="1"/>
  <c r="AT19" i="1" s="1"/>
  <c r="AU19" i="1" s="1"/>
  <c r="AC29" i="1"/>
  <c r="AT29" i="1" s="1"/>
  <c r="AU29" i="1" s="1"/>
  <c r="AC36" i="1"/>
  <c r="AC44" i="1"/>
  <c r="AT16" i="1"/>
  <c r="AU16" i="1" s="1"/>
  <c r="AV16" i="1" s="1"/>
  <c r="AT34" i="1"/>
  <c r="AU34" i="1" s="1"/>
  <c r="AV34" i="1" s="1"/>
  <c r="AT42" i="1"/>
  <c r="AU42" i="1" s="1"/>
  <c r="AV42" i="1" s="1"/>
  <c r="AB9" i="1"/>
  <c r="AB17" i="1"/>
  <c r="AB27" i="1"/>
  <c r="AB35" i="1"/>
  <c r="AB42" i="1"/>
  <c r="AB50" i="1"/>
  <c r="AD7" i="1"/>
  <c r="AD15" i="1"/>
  <c r="AD25" i="1"/>
  <c r="AD33" i="1"/>
  <c r="AD40" i="1"/>
  <c r="AD48" i="1"/>
  <c r="AY41" i="1"/>
  <c r="AZ41" i="1" s="1"/>
  <c r="BA41" i="1" s="1"/>
  <c r="AY49" i="1"/>
  <c r="AZ49" i="1" s="1"/>
  <c r="BA49" i="1" s="1"/>
  <c r="AT5" i="1"/>
  <c r="AU5" i="1" s="1"/>
  <c r="AY8" i="1"/>
  <c r="AZ8" i="1" s="1"/>
  <c r="BA8" i="1" s="1"/>
  <c r="AY16" i="1"/>
  <c r="AZ16" i="1" s="1"/>
  <c r="BA16" i="1" s="1"/>
  <c r="AY26" i="1"/>
  <c r="AZ26" i="1" s="1"/>
  <c r="BA26" i="1" s="1"/>
  <c r="AY34" i="1"/>
  <c r="AZ34" i="1" s="1"/>
  <c r="BA34" i="1" s="1"/>
  <c r="AY28" i="1"/>
  <c r="AZ28" i="1" s="1"/>
  <c r="BA28" i="1" s="1"/>
  <c r="AY44" i="1"/>
  <c r="AZ44" i="1" s="1"/>
  <c r="BA44" i="1" s="1"/>
  <c r="AM7" i="5"/>
  <c r="R5" i="5"/>
  <c r="T5" i="5"/>
  <c r="T25" i="5"/>
  <c r="AM25" i="5"/>
  <c r="R25" i="5"/>
  <c r="AM40" i="5"/>
  <c r="AM45" i="5"/>
  <c r="S25" i="5"/>
  <c r="S5" i="5"/>
  <c r="AH38" i="2"/>
  <c r="X32" i="2"/>
  <c r="AC32" i="2" s="1"/>
  <c r="AC6" i="2"/>
  <c r="AJ6" i="2" s="1"/>
  <c r="AO6" i="2" s="1"/>
  <c r="AC22" i="2"/>
  <c r="AE12" i="2"/>
  <c r="AL12" i="2" s="1"/>
  <c r="AQ12" i="2" s="1"/>
  <c r="X47" i="2"/>
  <c r="AC47" i="2" s="1"/>
  <c r="AB25" i="2"/>
  <c r="AB20" i="2"/>
  <c r="AC14" i="2"/>
  <c r="AD29" i="2"/>
  <c r="Z20" i="2"/>
  <c r="AE20" i="2" s="1"/>
  <c r="AB13" i="2"/>
  <c r="AC9" i="2"/>
  <c r="AJ9" i="2" s="1"/>
  <c r="AB37" i="2"/>
  <c r="AB45" i="2"/>
  <c r="AE33" i="2"/>
  <c r="AL33" i="2" s="1"/>
  <c r="AQ33" i="2" s="1"/>
  <c r="AC19" i="2"/>
  <c r="AD47" i="2"/>
  <c r="AE7" i="2"/>
  <c r="AL7" i="2" s="1"/>
  <c r="AB38" i="2"/>
  <c r="AC13" i="2"/>
  <c r="AJ13" i="2" s="1"/>
  <c r="AO13" i="2" s="1"/>
  <c r="AC38" i="2"/>
  <c r="AJ38" i="2" s="1"/>
  <c r="AC46" i="2"/>
  <c r="AJ46" i="2" s="1"/>
  <c r="AO46" i="2" s="1"/>
  <c r="AD8" i="2"/>
  <c r="AD16" i="2"/>
  <c r="AK16" i="2" s="1"/>
  <c r="AD26" i="2"/>
  <c r="AD34" i="2"/>
  <c r="AE10" i="2"/>
  <c r="AL10" i="2" s="1"/>
  <c r="AD21" i="2"/>
  <c r="AK21" i="2" s="1"/>
  <c r="AE13" i="2"/>
  <c r="Y31" i="2"/>
  <c r="AD31" i="2" s="1"/>
  <c r="Z42" i="2"/>
  <c r="AE42" i="2" s="1"/>
  <c r="AL42" i="2" s="1"/>
  <c r="AQ42" i="2" s="1"/>
  <c r="AB15" i="2"/>
  <c r="AB33" i="2"/>
  <c r="AB40" i="2"/>
  <c r="AB48" i="2"/>
  <c r="AD9" i="2"/>
  <c r="AK9" i="2" s="1"/>
  <c r="AP9" i="2" s="1"/>
  <c r="AD17" i="2"/>
  <c r="AK17" i="2" s="1"/>
  <c r="AP17" i="2" s="1"/>
  <c r="AD27" i="2"/>
  <c r="AK27" i="2" s="1"/>
  <c r="AP27" i="2" s="1"/>
  <c r="AD35" i="2"/>
  <c r="AK35" i="2" s="1"/>
  <c r="AP35" i="2" s="1"/>
  <c r="AD42" i="2"/>
  <c r="AK42" i="2" s="1"/>
  <c r="AP42" i="2" s="1"/>
  <c r="AD50" i="2"/>
  <c r="AK50" i="2" s="1"/>
  <c r="AP50" i="2" s="1"/>
  <c r="AE44" i="2"/>
  <c r="AB6" i="2"/>
  <c r="AC17" i="2"/>
  <c r="AJ17" i="2" s="1"/>
  <c r="AD28" i="2"/>
  <c r="AK28" i="2" s="1"/>
  <c r="AE15" i="2"/>
  <c r="AL15" i="2" s="1"/>
  <c r="AE48" i="2"/>
  <c r="AL48" i="2" s="1"/>
  <c r="AD22" i="2"/>
  <c r="AB46" i="2"/>
  <c r="AE9" i="2"/>
  <c r="AL9" i="2" s="1"/>
  <c r="AQ9" i="2" s="1"/>
  <c r="AE27" i="2"/>
  <c r="AL27" i="2" s="1"/>
  <c r="AQ27" i="2" s="1"/>
  <c r="AE35" i="2"/>
  <c r="AE40" i="2"/>
  <c r="AL40" i="2" s="1"/>
  <c r="X29" i="2"/>
  <c r="AC29" i="2" s="1"/>
  <c r="W31" i="2"/>
  <c r="X35" i="2"/>
  <c r="AC35" i="2" s="1"/>
  <c r="AJ35" i="2" s="1"/>
  <c r="AO35" i="2" s="1"/>
  <c r="AB16" i="2"/>
  <c r="AB41" i="2"/>
  <c r="AB49" i="2"/>
  <c r="AC48" i="2"/>
  <c r="AJ48" i="2" s="1"/>
  <c r="AB12" i="2"/>
  <c r="AB43" i="2"/>
  <c r="AB5" i="2"/>
  <c r="AC11" i="2"/>
  <c r="AD14" i="2"/>
  <c r="AD32" i="2"/>
  <c r="AD39" i="2"/>
  <c r="AC42" i="2"/>
  <c r="AJ42" i="2" s="1"/>
  <c r="X44" i="2"/>
  <c r="AC44" i="2" s="1"/>
  <c r="Y38" i="2"/>
  <c r="AD38" i="2" s="1"/>
  <c r="AK38" i="2" s="1"/>
  <c r="W44" i="2"/>
  <c r="X10" i="2"/>
  <c r="AC10" i="2" s="1"/>
  <c r="AJ10" i="2" s="1"/>
  <c r="X36" i="2"/>
  <c r="AC36" i="2" s="1"/>
  <c r="Y6" i="2"/>
  <c r="AD6" i="2" s="1"/>
  <c r="AK6" i="2" s="1"/>
  <c r="AB9" i="2"/>
  <c r="AB35" i="2"/>
  <c r="AB42" i="2"/>
  <c r="AB50" i="2"/>
  <c r="AC8" i="2"/>
  <c r="AC16" i="2"/>
  <c r="AC26" i="2"/>
  <c r="AC34" i="2"/>
  <c r="AC41" i="2"/>
  <c r="AJ41" i="2" s="1"/>
  <c r="AO41" i="2" s="1"/>
  <c r="AC49" i="2"/>
  <c r="AJ49" i="2" s="1"/>
  <c r="AO49" i="2" s="1"/>
  <c r="AB30" i="2"/>
  <c r="AE21" i="2"/>
  <c r="AB10" i="2"/>
  <c r="AB28" i="2"/>
  <c r="AD30" i="2"/>
  <c r="AK30" i="2" s="1"/>
  <c r="AD37" i="2"/>
  <c r="AD45" i="2"/>
  <c r="AK45" i="2" s="1"/>
  <c r="AE32" i="2"/>
  <c r="AE39" i="2"/>
  <c r="AE47" i="2"/>
  <c r="AE25" i="2"/>
  <c r="AB18" i="2"/>
  <c r="AC43" i="2"/>
  <c r="AB17" i="2"/>
  <c r="AB27" i="2"/>
  <c r="AC12" i="2"/>
  <c r="AJ12" i="2" s="1"/>
  <c r="AO12" i="2" s="1"/>
  <c r="AC20" i="2"/>
  <c r="AC30" i="2"/>
  <c r="AJ30" i="2" s="1"/>
  <c r="AO30" i="2" s="1"/>
  <c r="AC37" i="2"/>
  <c r="AC45" i="2"/>
  <c r="AD41" i="2"/>
  <c r="AD49" i="2"/>
  <c r="AK49" i="2" s="1"/>
  <c r="AP49" i="2" s="1"/>
  <c r="AE18" i="2"/>
  <c r="AL18" i="2" s="1"/>
  <c r="AE28" i="2"/>
  <c r="AL28" i="2" s="1"/>
  <c r="AE43" i="2"/>
  <c r="AL43" i="2" s="1"/>
  <c r="AD5" i="2"/>
  <c r="AK5" i="2" s="1"/>
  <c r="X40" i="2"/>
  <c r="AC40" i="2" s="1"/>
  <c r="AJ40" i="2" s="1"/>
  <c r="X21" i="2"/>
  <c r="AC21" i="2" s="1"/>
  <c r="AJ21" i="2" s="1"/>
  <c r="AO21" i="2" s="1"/>
  <c r="Y7" i="2"/>
  <c r="Z8" i="2"/>
  <c r="Z29" i="2"/>
  <c r="AE29" i="2" s="1"/>
  <c r="X28" i="2"/>
  <c r="AC28" i="2" s="1"/>
  <c r="AJ28" i="2" s="1"/>
  <c r="AC5" i="2"/>
  <c r="AJ5" i="2" s="1"/>
  <c r="AO5" i="2" s="1"/>
  <c r="AC31" i="2"/>
  <c r="AE11" i="2"/>
  <c r="AE19" i="2"/>
  <c r="AE36" i="2"/>
  <c r="AE5" i="2"/>
  <c r="AL5" i="2" s="1"/>
  <c r="AQ5" i="2" s="1"/>
  <c r="AD43" i="2"/>
  <c r="AK43" i="2" s="1"/>
  <c r="X7" i="2"/>
  <c r="AC7" i="2" s="1"/>
  <c r="AJ7" i="2" s="1"/>
  <c r="AC15" i="2"/>
  <c r="AJ15" i="2" s="1"/>
  <c r="AC25" i="2"/>
  <c r="AJ25" i="2" s="1"/>
  <c r="AO25" i="2" s="1"/>
  <c r="AC33" i="2"/>
  <c r="W8" i="2"/>
  <c r="W34" i="2"/>
  <c r="AB21" i="2"/>
  <c r="AD12" i="2"/>
  <c r="AK12" i="2" s="1"/>
  <c r="AP12" i="2" s="1"/>
  <c r="AD20" i="2"/>
  <c r="AE6" i="2"/>
  <c r="AL6" i="2" s="1"/>
  <c r="AQ6" i="2" s="1"/>
  <c r="AE14" i="2"/>
  <c r="AE22" i="2"/>
  <c r="Z16" i="2"/>
  <c r="AE16" i="2" s="1"/>
  <c r="AL16" i="2" s="1"/>
  <c r="W26" i="2"/>
  <c r="Z17" i="2"/>
  <c r="AE17" i="2" s="1"/>
  <c r="AB7" i="2"/>
  <c r="AC18" i="2"/>
  <c r="AJ18" i="2" s="1"/>
  <c r="AE26" i="2"/>
  <c r="AE34" i="2"/>
  <c r="AE41" i="2"/>
  <c r="AL41" i="2" s="1"/>
  <c r="AQ41" i="2" s="1"/>
  <c r="AE49" i="2"/>
  <c r="AD13" i="2"/>
  <c r="AK13" i="2" s="1"/>
  <c r="Y15" i="2"/>
  <c r="AD15" i="2" s="1"/>
  <c r="AK15" i="2" s="1"/>
  <c r="Z50" i="2"/>
  <c r="AE50" i="2" s="1"/>
  <c r="AL50" i="2" s="1"/>
  <c r="AD25" i="2"/>
  <c r="AK25" i="2" s="1"/>
  <c r="AP25" i="2" s="1"/>
  <c r="AD33" i="2"/>
  <c r="AK33" i="2" s="1"/>
  <c r="AP33" i="2" s="1"/>
  <c r="AD40" i="2"/>
  <c r="AK40" i="2" s="1"/>
  <c r="AD48" i="2"/>
  <c r="U5" i="1"/>
  <c r="S5" i="1"/>
  <c r="T5" i="1"/>
  <c r="AU21" i="9" l="1"/>
  <c r="AZ37" i="6"/>
  <c r="AU48" i="9"/>
  <c r="BY26" i="10"/>
  <c r="AK17" i="13"/>
  <c r="AT33" i="18"/>
  <c r="AQ5" i="9"/>
  <c r="BW51" i="10"/>
  <c r="BX51" i="10" s="1"/>
  <c r="BY51" i="10" s="1"/>
  <c r="BZ47" i="10"/>
  <c r="CA47" i="10" s="1"/>
  <c r="CB47" i="10"/>
  <c r="BZ45" i="10"/>
  <c r="CA45" i="10" s="1"/>
  <c r="CB45" i="10" s="1"/>
  <c r="BZ49" i="10"/>
  <c r="CA49" i="10" s="1"/>
  <c r="CB49" i="10" s="1"/>
  <c r="BW32" i="10"/>
  <c r="BX32" i="10" s="1"/>
  <c r="BY32" i="10" s="1"/>
  <c r="BZ31" i="10"/>
  <c r="CA31" i="10" s="1"/>
  <c r="CB31" i="10"/>
  <c r="BW41" i="10"/>
  <c r="BX41" i="10" s="1"/>
  <c r="BY41" i="10" s="1"/>
  <c r="BW39" i="10"/>
  <c r="BX39" i="10" s="1"/>
  <c r="BY39" i="10"/>
  <c r="BW25" i="10"/>
  <c r="BX25" i="10" s="1"/>
  <c r="BY25" i="10" s="1"/>
  <c r="BZ17" i="10"/>
  <c r="CA17" i="10" s="1"/>
  <c r="CB17" i="10" s="1"/>
  <c r="BW8" i="10"/>
  <c r="BX8" i="10" s="1"/>
  <c r="BY8" i="10"/>
  <c r="BZ7" i="10"/>
  <c r="CA7" i="10" s="1"/>
  <c r="CB7" i="10" s="1"/>
  <c r="BZ16" i="10"/>
  <c r="CA16" i="10" s="1"/>
  <c r="CB16" i="10"/>
  <c r="BW44" i="10"/>
  <c r="BX44" i="10" s="1"/>
  <c r="BY44" i="10" s="1"/>
  <c r="BW20" i="10"/>
  <c r="BX20" i="10" s="1"/>
  <c r="BY20" i="10"/>
  <c r="BZ42" i="10"/>
  <c r="CA42" i="10" s="1"/>
  <c r="CB42" i="10" s="1"/>
  <c r="BZ50" i="10"/>
  <c r="CA50" i="10" s="1"/>
  <c r="CB50" i="10" s="1"/>
  <c r="BZ5" i="10"/>
  <c r="CA5" i="10" s="1"/>
  <c r="BW50" i="10"/>
  <c r="BX50" i="10" s="1"/>
  <c r="BY50" i="10"/>
  <c r="AX32" i="9"/>
  <c r="AY32" i="9" s="1"/>
  <c r="AZ32" i="9" s="1"/>
  <c r="AZ30" i="8"/>
  <c r="CB34" i="10"/>
  <c r="AZ35" i="6"/>
  <c r="BW27" i="10"/>
  <c r="BX27" i="10" s="1"/>
  <c r="BY27" i="10" s="1"/>
  <c r="BW21" i="10"/>
  <c r="BX21" i="10" s="1"/>
  <c r="BY21" i="10"/>
  <c r="BZ13" i="10"/>
  <c r="CA13" i="10" s="1"/>
  <c r="CB13" i="10" s="1"/>
  <c r="BZ6" i="10"/>
  <c r="CA6" i="10" s="1"/>
  <c r="CB6" i="10" s="1"/>
  <c r="BW40" i="10"/>
  <c r="BX40" i="10" s="1"/>
  <c r="BY40" i="10"/>
  <c r="BZ38" i="10"/>
  <c r="CA38" i="10" s="1"/>
  <c r="CB38" i="10" s="1"/>
  <c r="BZ46" i="10"/>
  <c r="CA46" i="10" s="1"/>
  <c r="CB46" i="10"/>
  <c r="AS31" i="9"/>
  <c r="AT31" i="9" s="1"/>
  <c r="AU31" i="9" s="1"/>
  <c r="BZ48" i="10"/>
  <c r="CA48" i="10" s="1"/>
  <c r="CB48" i="10"/>
  <c r="AM16" i="13"/>
  <c r="AZ25" i="8"/>
  <c r="AZ5" i="8"/>
  <c r="AT45" i="18"/>
  <c r="AT37" i="18"/>
  <c r="BY37" i="10"/>
  <c r="AZ14" i="6"/>
  <c r="AZ5" i="6"/>
  <c r="AU42" i="6"/>
  <c r="AU47" i="6"/>
  <c r="AU32" i="6"/>
  <c r="AZ33" i="8"/>
  <c r="AZ15" i="8"/>
  <c r="AZ13" i="9"/>
  <c r="BZ43" i="10"/>
  <c r="CA43" i="10" s="1"/>
  <c r="CB43" i="10" s="1"/>
  <c r="BZ51" i="10"/>
  <c r="CA51" i="10" s="1"/>
  <c r="CB51" i="10"/>
  <c r="BZ30" i="10"/>
  <c r="CA30" i="10" s="1"/>
  <c r="CB30" i="10" s="1"/>
  <c r="BZ35" i="10"/>
  <c r="CA35" i="10" s="1"/>
  <c r="CB35" i="10"/>
  <c r="BW34" i="10"/>
  <c r="BX34" i="10" s="1"/>
  <c r="BY34" i="10" s="1"/>
  <c r="BW30" i="10"/>
  <c r="BX30" i="10" s="1"/>
  <c r="BY30" i="10" s="1"/>
  <c r="BZ39" i="10"/>
  <c r="CA39" i="10" s="1"/>
  <c r="CB39" i="10" s="1"/>
  <c r="BW18" i="10"/>
  <c r="BX18" i="10" s="1"/>
  <c r="BY18" i="10" s="1"/>
  <c r="BZ20" i="10"/>
  <c r="CA20" i="10" s="1"/>
  <c r="CB20" i="10" s="1"/>
  <c r="BW42" i="10"/>
  <c r="BX42" i="10" s="1"/>
  <c r="BY42" i="10" s="1"/>
  <c r="BW22" i="10"/>
  <c r="BX22" i="10" s="1"/>
  <c r="BY22" i="10" s="1"/>
  <c r="BZ8" i="10"/>
  <c r="CA8" i="10" s="1"/>
  <c r="CB8" i="10" s="1"/>
  <c r="BZ12" i="10"/>
  <c r="CA12" i="10" s="1"/>
  <c r="CB12" i="10" s="1"/>
  <c r="BZ26" i="10"/>
  <c r="CA26" i="10" s="1"/>
  <c r="CB26" i="10" s="1"/>
  <c r="BW5" i="10"/>
  <c r="BX5" i="10" s="1"/>
  <c r="BY5" i="10" s="1"/>
  <c r="BW28" i="10"/>
  <c r="BX28" i="10" s="1"/>
  <c r="BY28" i="10" s="1"/>
  <c r="AU12" i="9"/>
  <c r="BZ44" i="10"/>
  <c r="CA44" i="10" s="1"/>
  <c r="CB44" i="10" s="1"/>
  <c r="BW46" i="10"/>
  <c r="BX46" i="10" s="1"/>
  <c r="BY46" i="10"/>
  <c r="AN16" i="13"/>
  <c r="AZ19" i="6"/>
  <c r="BY31" i="10"/>
  <c r="AZ38" i="6"/>
  <c r="AU35" i="6"/>
  <c r="AZ27" i="6"/>
  <c r="AU31" i="6"/>
  <c r="AZ31" i="6"/>
  <c r="AZ49" i="8"/>
  <c r="AP32" i="9"/>
  <c r="AU15" i="9"/>
  <c r="AP18" i="9"/>
  <c r="BZ41" i="10"/>
  <c r="CA41" i="10" s="1"/>
  <c r="CB41" i="10" s="1"/>
  <c r="BZ37" i="10"/>
  <c r="CA37" i="10" s="1"/>
  <c r="CB37" i="10" s="1"/>
  <c r="BW29" i="10"/>
  <c r="BX29" i="10" s="1"/>
  <c r="BY29" i="10" s="1"/>
  <c r="BW33" i="10"/>
  <c r="BX33" i="10" s="1"/>
  <c r="BY33" i="10" s="1"/>
  <c r="BW12" i="10"/>
  <c r="BX12" i="10" s="1"/>
  <c r="BY12" i="10" s="1"/>
  <c r="BW13" i="10"/>
  <c r="BX13" i="10" s="1"/>
  <c r="BY13" i="10"/>
  <c r="BZ21" i="10"/>
  <c r="CA21" i="10" s="1"/>
  <c r="CB21" i="10" s="1"/>
  <c r="BZ40" i="10"/>
  <c r="CA40" i="10" s="1"/>
  <c r="CB40" i="10"/>
  <c r="BE26" i="10"/>
  <c r="BO6" i="10"/>
  <c r="X51" i="13"/>
  <c r="Y23" i="13"/>
  <c r="AA10" i="13"/>
  <c r="AM27" i="13"/>
  <c r="Y51" i="13"/>
  <c r="AZ7" i="9"/>
  <c r="AP36" i="9"/>
  <c r="AX25" i="9"/>
  <c r="AY25" i="9" s="1"/>
  <c r="AZ25" i="9" s="1"/>
  <c r="AZ13" i="6"/>
  <c r="AT29" i="18"/>
  <c r="AU46" i="9"/>
  <c r="BY16" i="10"/>
  <c r="BY19" i="10"/>
  <c r="AT36" i="18"/>
  <c r="AT49" i="18"/>
  <c r="AT41" i="18"/>
  <c r="AG5" i="18"/>
  <c r="AD5" i="18"/>
  <c r="AR40" i="18"/>
  <c r="AS40" i="18" s="1"/>
  <c r="AT40" i="18" s="1"/>
  <c r="AR28" i="18"/>
  <c r="AS28" i="18" s="1"/>
  <c r="AT44" i="18"/>
  <c r="AT48" i="18"/>
  <c r="AT5" i="18"/>
  <c r="AV5" i="18" s="1"/>
  <c r="AT35" i="16"/>
  <c r="AT13" i="16"/>
  <c r="AU5" i="16"/>
  <c r="AT7" i="16"/>
  <c r="AT38" i="16"/>
  <c r="AT19" i="16"/>
  <c r="AU25" i="16"/>
  <c r="AT16" i="16"/>
  <c r="AT50" i="16"/>
  <c r="AT34" i="16"/>
  <c r="AT44" i="16"/>
  <c r="AT36" i="16"/>
  <c r="AT27" i="16"/>
  <c r="AT26" i="16"/>
  <c r="AT12" i="16"/>
  <c r="AT8" i="16"/>
  <c r="AD5" i="16"/>
  <c r="AG5" i="16"/>
  <c r="AT21" i="16"/>
  <c r="AT22" i="16"/>
  <c r="AT46" i="16"/>
  <c r="AT48" i="16"/>
  <c r="AT30" i="16"/>
  <c r="AT15" i="16"/>
  <c r="AT25" i="16"/>
  <c r="AT20" i="16"/>
  <c r="AT17" i="16"/>
  <c r="AT18" i="16"/>
  <c r="AT42" i="16"/>
  <c r="AT40" i="16"/>
  <c r="AT32" i="16"/>
  <c r="AT28" i="16"/>
  <c r="AD25" i="16"/>
  <c r="AG25" i="16"/>
  <c r="AT14" i="16"/>
  <c r="AQ43" i="1"/>
  <c r="AO28" i="2"/>
  <c r="AP15" i="2"/>
  <c r="AO15" i="2"/>
  <c r="AQ28" i="2"/>
  <c r="AV25" i="9"/>
  <c r="AZ47" i="6"/>
  <c r="AU45" i="6"/>
  <c r="AU32" i="8"/>
  <c r="AZ32" i="8"/>
  <c r="AN38" i="9"/>
  <c r="AO38" i="9" s="1"/>
  <c r="AQ25" i="9" s="1"/>
  <c r="AP40" i="2"/>
  <c r="AP8" i="6"/>
  <c r="AQ40" i="2"/>
  <c r="AP31" i="6"/>
  <c r="AU43" i="6"/>
  <c r="AP39" i="6"/>
  <c r="AZ32" i="6"/>
  <c r="AX6" i="8"/>
  <c r="AY6" i="8" s="1"/>
  <c r="AZ6" i="8" s="1"/>
  <c r="AX18" i="8"/>
  <c r="AY18" i="8" s="1"/>
  <c r="AZ18" i="8" s="1"/>
  <c r="AP32" i="6"/>
  <c r="AP38" i="6"/>
  <c r="AU5" i="6"/>
  <c r="AU10" i="9"/>
  <c r="AP16" i="9"/>
  <c r="AZ40" i="9"/>
  <c r="AZ37" i="9"/>
  <c r="AP25" i="9"/>
  <c r="AX47" i="9"/>
  <c r="AY47" i="9" s="1"/>
  <c r="AO33" i="13"/>
  <c r="AQ48" i="2"/>
  <c r="AU38" i="6"/>
  <c r="AU48" i="8"/>
  <c r="AZ48" i="8"/>
  <c r="V23" i="13"/>
  <c r="AN7" i="13"/>
  <c r="AU7" i="5"/>
  <c r="AP7" i="9"/>
  <c r="AP22" i="9"/>
  <c r="AP28" i="9"/>
  <c r="AU40" i="9"/>
  <c r="AO48" i="2"/>
  <c r="AZ39" i="6"/>
  <c r="AP46" i="6"/>
  <c r="AZ46" i="6"/>
  <c r="AZ16" i="6"/>
  <c r="AZ8" i="6"/>
  <c r="AU8" i="6"/>
  <c r="AU6" i="8"/>
  <c r="AP37" i="9"/>
  <c r="AP45" i="9"/>
  <c r="AP20" i="9"/>
  <c r="AP47" i="13"/>
  <c r="AP14" i="13"/>
  <c r="AX48" i="9"/>
  <c r="AY48" i="9" s="1"/>
  <c r="AZ48" i="9" s="1"/>
  <c r="AU32" i="9"/>
  <c r="AP44" i="9"/>
  <c r="AU16" i="6"/>
  <c r="AU8" i="8"/>
  <c r="AZ8" i="8"/>
  <c r="AX27" i="8"/>
  <c r="AY27" i="8" s="1"/>
  <c r="AZ27" i="8" s="1"/>
  <c r="AU28" i="9"/>
  <c r="AH12" i="13"/>
  <c r="AM12" i="13" s="1"/>
  <c r="AZ28" i="6"/>
  <c r="AU39" i="6"/>
  <c r="AZ22" i="8"/>
  <c r="AS8" i="9"/>
  <c r="AT8" i="9" s="1"/>
  <c r="AV5" i="9" s="1"/>
  <c r="AP29" i="9"/>
  <c r="AU25" i="9"/>
  <c r="AP13" i="9"/>
  <c r="AN31" i="13"/>
  <c r="AM49" i="13"/>
  <c r="AZ13" i="8"/>
  <c r="AZ9" i="8"/>
  <c r="AZ16" i="8"/>
  <c r="AX15" i="6"/>
  <c r="AY15" i="6" s="1"/>
  <c r="AZ15" i="6"/>
  <c r="AP42" i="6"/>
  <c r="AZ42" i="6"/>
  <c r="AU7" i="6"/>
  <c r="AZ7" i="6"/>
  <c r="AZ25" i="6"/>
  <c r="AX17" i="6"/>
  <c r="AY17" i="6" s="1"/>
  <c r="AZ17" i="6" s="1"/>
  <c r="AU34" i="8"/>
  <c r="AZ34" i="8"/>
  <c r="AU36" i="9"/>
  <c r="AU17" i="9"/>
  <c r="AP21" i="9"/>
  <c r="AP14" i="9"/>
  <c r="AZ7" i="5"/>
  <c r="AA42" i="13"/>
  <c r="AH42" i="13" s="1"/>
  <c r="AQ47" i="1"/>
  <c r="AQ45" i="1"/>
  <c r="BA18" i="1"/>
  <c r="AQ31" i="1"/>
  <c r="AO25" i="1"/>
  <c r="AP25" i="1" s="1"/>
  <c r="AQ25" i="1" s="1"/>
  <c r="AV25" i="1"/>
  <c r="BA30" i="1"/>
  <c r="AQ30" i="1"/>
  <c r="AQ37" i="1"/>
  <c r="AP42" i="13"/>
  <c r="AP41" i="13"/>
  <c r="AO27" i="13"/>
  <c r="AN27" i="13"/>
  <c r="AP27" i="13"/>
  <c r="AM14" i="13"/>
  <c r="AM7" i="13"/>
  <c r="AM22" i="13"/>
  <c r="AP45" i="2"/>
  <c r="AO7" i="2"/>
  <c r="W23" i="13"/>
  <c r="AK29" i="13"/>
  <c r="AA28" i="13"/>
  <c r="AH28" i="13" s="1"/>
  <c r="AM28" i="13" s="1"/>
  <c r="AA33" i="13"/>
  <c r="AH33" i="13" s="1"/>
  <c r="AI21" i="13"/>
  <c r="AN21" i="13" s="1"/>
  <c r="AK21" i="13"/>
  <c r="AP21" i="13" s="1"/>
  <c r="AJ9" i="13"/>
  <c r="AO9" i="13" s="1"/>
  <c r="AK10" i="13"/>
  <c r="AP10" i="13" s="1"/>
  <c r="AI9" i="13"/>
  <c r="AN9" i="13" s="1"/>
  <c r="AK7" i="13"/>
  <c r="AP7" i="13" s="1"/>
  <c r="AI39" i="13"/>
  <c r="AN39" i="13" s="1"/>
  <c r="AI26" i="13"/>
  <c r="AN26" i="13" s="1"/>
  <c r="AK6" i="13"/>
  <c r="AP6" i="13" s="1"/>
  <c r="AI6" i="13"/>
  <c r="AN6" i="13" s="1"/>
  <c r="AJ7" i="13"/>
  <c r="AO7" i="13" s="1"/>
  <c r="AJ10" i="13"/>
  <c r="AO10" i="13" s="1"/>
  <c r="AJ6" i="13"/>
  <c r="AO6" i="13" s="1"/>
  <c r="AJ14" i="13"/>
  <c r="AO14" i="13" s="1"/>
  <c r="AJ16" i="13"/>
  <c r="AO16" i="13" s="1"/>
  <c r="AI33" i="13"/>
  <c r="AN33" i="13" s="1"/>
  <c r="AK11" i="13"/>
  <c r="AP11" i="13" s="1"/>
  <c r="AJ44" i="13"/>
  <c r="AO44" i="13" s="1"/>
  <c r="AJ31" i="13"/>
  <c r="AO31" i="13" s="1"/>
  <c r="AI14" i="13"/>
  <c r="AN14" i="13" s="1"/>
  <c r="AK43" i="13"/>
  <c r="AP43" i="13" s="1"/>
  <c r="AH31" i="13"/>
  <c r="AM31" i="13" s="1"/>
  <c r="AD5" i="13"/>
  <c r="AK48" i="13"/>
  <c r="AP48" i="13" s="1"/>
  <c r="AI41" i="13"/>
  <c r="AN41" i="13" s="1"/>
  <c r="AJ43" i="13"/>
  <c r="AO43" i="13" s="1"/>
  <c r="AI50" i="13"/>
  <c r="AN50" i="13" s="1"/>
  <c r="AI43" i="13"/>
  <c r="AN43" i="13" s="1"/>
  <c r="AK30" i="13"/>
  <c r="AG30" i="13"/>
  <c r="AJ11" i="13"/>
  <c r="AO11" i="13" s="1"/>
  <c r="AA17" i="13"/>
  <c r="AI30" i="13"/>
  <c r="AJ13" i="13"/>
  <c r="AO13" i="13" s="1"/>
  <c r="AH5" i="13"/>
  <c r="AH10" i="13"/>
  <c r="AM10" i="13" s="1"/>
  <c r="AJ18" i="13"/>
  <c r="AO18" i="13" s="1"/>
  <c r="AJ47" i="13"/>
  <c r="AO47" i="13" s="1"/>
  <c r="AH40" i="13"/>
  <c r="AM40" i="13" s="1"/>
  <c r="W51" i="13"/>
  <c r="AI42" i="13"/>
  <c r="AN42" i="13" s="1"/>
  <c r="AI17" i="13"/>
  <c r="AG17" i="13"/>
  <c r="AD51" i="13"/>
  <c r="AJ32" i="13"/>
  <c r="AO32" i="13" s="1"/>
  <c r="AK9" i="13"/>
  <c r="AP9" i="13" s="1"/>
  <c r="AG19" i="13"/>
  <c r="AJ19" i="13"/>
  <c r="AA13" i="13"/>
  <c r="AH39" i="13"/>
  <c r="AM39" i="13" s="1"/>
  <c r="AH41" i="13"/>
  <c r="AM41" i="13" s="1"/>
  <c r="AH19" i="13"/>
  <c r="AI10" i="13"/>
  <c r="AN10" i="13" s="1"/>
  <c r="AH45" i="13"/>
  <c r="AM45" i="13" s="1"/>
  <c r="AI38" i="13"/>
  <c r="AN38" i="13" s="1"/>
  <c r="AK20" i="13"/>
  <c r="AP20" i="13" s="1"/>
  <c r="AJ50" i="13"/>
  <c r="AO50" i="13" s="1"/>
  <c r="AK38" i="13"/>
  <c r="AP38" i="13" s="1"/>
  <c r="AI48" i="13"/>
  <c r="AN48" i="13" s="1"/>
  <c r="AK37" i="13"/>
  <c r="AP37" i="13" s="1"/>
  <c r="X23" i="13"/>
  <c r="AK32" i="13"/>
  <c r="AP32" i="13" s="1"/>
  <c r="AH15" i="13"/>
  <c r="AB25" i="13"/>
  <c r="AK13" i="13"/>
  <c r="AP13" i="13" s="1"/>
  <c r="AC5" i="13"/>
  <c r="AJ5" i="13" s="1"/>
  <c r="AK28" i="13"/>
  <c r="AP28" i="13" s="1"/>
  <c r="AK50" i="13"/>
  <c r="AP50" i="13" s="1"/>
  <c r="AH38" i="13"/>
  <c r="AM38" i="13" s="1"/>
  <c r="AJ37" i="13"/>
  <c r="AO37" i="13" s="1"/>
  <c r="AG15" i="13"/>
  <c r="AI15" i="13"/>
  <c r="AK44" i="13"/>
  <c r="AP44" i="13" s="1"/>
  <c r="AJ48" i="13"/>
  <c r="AO48" i="13" s="1"/>
  <c r="AI37" i="13"/>
  <c r="AN37" i="13" s="1"/>
  <c r="AH47" i="13"/>
  <c r="AM47" i="13" s="1"/>
  <c r="AH37" i="13"/>
  <c r="AM37" i="13" s="1"/>
  <c r="AH50" i="13"/>
  <c r="AM50" i="13" s="1"/>
  <c r="AB13" i="13"/>
  <c r="AJ21" i="13"/>
  <c r="AO21" i="13" s="1"/>
  <c r="AI5" i="13"/>
  <c r="AN5" i="13" s="1"/>
  <c r="AK33" i="13"/>
  <c r="AP33" i="13" s="1"/>
  <c r="AA21" i="13"/>
  <c r="AI46" i="13"/>
  <c r="AN46" i="13" s="1"/>
  <c r="AC51" i="13"/>
  <c r="AJ26" i="13"/>
  <c r="AO26" i="13" s="1"/>
  <c r="AI28" i="13"/>
  <c r="AN28" i="13" s="1"/>
  <c r="AH44" i="13"/>
  <c r="AM44" i="13" s="1"/>
  <c r="AI47" i="13"/>
  <c r="AN47" i="13" s="1"/>
  <c r="AK46" i="13"/>
  <c r="AP46" i="13" s="1"/>
  <c r="AJ49" i="13"/>
  <c r="AO49" i="13" s="1"/>
  <c r="AI32" i="13"/>
  <c r="AN32" i="13"/>
  <c r="AJ28" i="13"/>
  <c r="AO28" i="13" s="1"/>
  <c r="AK15" i="13"/>
  <c r="AJ17" i="13"/>
  <c r="AA9" i="13"/>
  <c r="AJ45" i="13"/>
  <c r="AO45" i="13" s="1"/>
  <c r="AK31" i="13"/>
  <c r="AP31" i="13" s="1"/>
  <c r="AH46" i="13"/>
  <c r="AM46" i="13" s="1"/>
  <c r="AK16" i="13"/>
  <c r="AP16" i="13" s="1"/>
  <c r="AJ42" i="13"/>
  <c r="AO42" i="13" s="1"/>
  <c r="AJ29" i="13"/>
  <c r="AG29" i="13"/>
  <c r="AK45" i="13"/>
  <c r="AP45" i="13" s="1"/>
  <c r="V51" i="13"/>
  <c r="AG25" i="13"/>
  <c r="AI44" i="13"/>
  <c r="AN44" i="13" s="1"/>
  <c r="AK19" i="13"/>
  <c r="AI29" i="13"/>
  <c r="AJ30" i="13"/>
  <c r="AA30" i="13"/>
  <c r="AA32" i="13"/>
  <c r="AA6" i="13"/>
  <c r="BA11" i="1"/>
  <c r="BA45" i="1"/>
  <c r="BA43" i="1"/>
  <c r="BA10" i="1"/>
  <c r="BA19" i="1"/>
  <c r="AX11" i="5"/>
  <c r="AY11" i="5" s="1"/>
  <c r="AZ11" i="5" s="1"/>
  <c r="AX15" i="5"/>
  <c r="AY15" i="5" s="1"/>
  <c r="AZ15" i="5" s="1"/>
  <c r="AX19" i="5"/>
  <c r="AY19" i="5" s="1"/>
  <c r="AZ19" i="5" s="1"/>
  <c r="AZ5" i="5"/>
  <c r="AY35" i="1"/>
  <c r="AZ35" i="1" s="1"/>
  <c r="BA35" i="1" s="1"/>
  <c r="AY33" i="1"/>
  <c r="AZ33" i="1" s="1"/>
  <c r="BA33" i="1" s="1"/>
  <c r="AY39" i="1"/>
  <c r="AZ39" i="1" s="1"/>
  <c r="BA39" i="1" s="1"/>
  <c r="AY31" i="1"/>
  <c r="AZ31" i="1" s="1"/>
  <c r="BA31" i="1" s="1"/>
  <c r="AY36" i="1"/>
  <c r="AZ36" i="1" s="1"/>
  <c r="BA36" i="1" s="1"/>
  <c r="AY25" i="1"/>
  <c r="AZ25" i="1" s="1"/>
  <c r="BA25" i="1" s="1"/>
  <c r="AY27" i="1"/>
  <c r="AZ27" i="1" s="1"/>
  <c r="BA27" i="1" s="1"/>
  <c r="AY38" i="1"/>
  <c r="AZ38" i="1" s="1"/>
  <c r="BA38" i="1" s="1"/>
  <c r="AY46" i="1"/>
  <c r="AZ46" i="1" s="1"/>
  <c r="BA46" i="1" s="1"/>
  <c r="AY37" i="1"/>
  <c r="AZ37" i="1" s="1"/>
  <c r="BA37" i="1" s="1"/>
  <c r="AY29" i="1"/>
  <c r="AZ29" i="1" s="1"/>
  <c r="BA29" i="1" s="1"/>
  <c r="AY47" i="1"/>
  <c r="AZ47" i="1" s="1"/>
  <c r="BA47" i="1" s="1"/>
  <c r="AY9" i="1"/>
  <c r="AZ9" i="1" s="1"/>
  <c r="BA9" i="1" s="1"/>
  <c r="AY21" i="1"/>
  <c r="AZ21" i="1" s="1"/>
  <c r="BA21" i="1" s="1"/>
  <c r="AY15" i="1"/>
  <c r="AZ15" i="1" s="1"/>
  <c r="BA15" i="1" s="1"/>
  <c r="AY7" i="1"/>
  <c r="AZ7" i="1" s="1"/>
  <c r="BA7" i="1" s="1"/>
  <c r="AY17" i="1"/>
  <c r="AZ17" i="1" s="1"/>
  <c r="BA17" i="1" s="1"/>
  <c r="AY22" i="1"/>
  <c r="AZ22" i="1" s="1"/>
  <c r="BA22" i="1" s="1"/>
  <c r="AY13" i="1"/>
  <c r="AZ13" i="1" s="1"/>
  <c r="BA13" i="1" s="1"/>
  <c r="AY5" i="1"/>
  <c r="AZ5" i="1" s="1"/>
  <c r="AV38" i="1"/>
  <c r="AV29" i="1"/>
  <c r="AV50" i="1"/>
  <c r="AV37" i="1"/>
  <c r="AV45" i="1"/>
  <c r="AV8" i="1"/>
  <c r="AV19" i="1"/>
  <c r="AV15" i="1"/>
  <c r="AV7" i="1"/>
  <c r="AL35" i="2"/>
  <c r="AQ35" i="2" s="1"/>
  <c r="AL49" i="2"/>
  <c r="AQ49" i="2" s="1"/>
  <c r="AQ50" i="2"/>
  <c r="AL25" i="2"/>
  <c r="AQ25" i="2" s="1"/>
  <c r="AQ43" i="2"/>
  <c r="AL21" i="2"/>
  <c r="AQ21" i="2" s="1"/>
  <c r="AL13" i="2"/>
  <c r="AQ13" i="2" s="1"/>
  <c r="AQ15" i="2"/>
  <c r="AQ16" i="2"/>
  <c r="AL17" i="2"/>
  <c r="AQ17" i="2" s="1"/>
  <c r="AQ18" i="2"/>
  <c r="AQ10" i="2"/>
  <c r="AQ7" i="2"/>
  <c r="AJ33" i="2"/>
  <c r="AO33" i="2" s="1"/>
  <c r="AO40" i="2"/>
  <c r="AJ43" i="2"/>
  <c r="AO43" i="2" s="1"/>
  <c r="AJ45" i="2"/>
  <c r="AO45" i="2" s="1"/>
  <c r="AO42" i="2"/>
  <c r="AJ16" i="2"/>
  <c r="AO16" i="2" s="1"/>
  <c r="AO18" i="2"/>
  <c r="AO10" i="2"/>
  <c r="AO17" i="2"/>
  <c r="AO9" i="2"/>
  <c r="AP30" i="2"/>
  <c r="AP28" i="2"/>
  <c r="AP43" i="2"/>
  <c r="AK48" i="2"/>
  <c r="AP48" i="2" s="1"/>
  <c r="AK41" i="2"/>
  <c r="AP41" i="2" s="1"/>
  <c r="AP21" i="2"/>
  <c r="AP13" i="2"/>
  <c r="AP16" i="2"/>
  <c r="AP6" i="2"/>
  <c r="AP5" i="2"/>
  <c r="AI50" i="2"/>
  <c r="AN50" i="2" s="1"/>
  <c r="AI43" i="2"/>
  <c r="AN43" i="2" s="1"/>
  <c r="AL31" i="2"/>
  <c r="AJ31" i="2"/>
  <c r="AK31" i="2"/>
  <c r="AH29" i="2"/>
  <c r="AL29" i="2"/>
  <c r="AJ29" i="2"/>
  <c r="AK29" i="2"/>
  <c r="AI48" i="2"/>
  <c r="AN48" i="2" s="1"/>
  <c r="AI38" i="2"/>
  <c r="AN38" i="2" s="1"/>
  <c r="AI37" i="2"/>
  <c r="AH47" i="2"/>
  <c r="AL47" i="2"/>
  <c r="AJ47" i="2"/>
  <c r="AK47" i="2"/>
  <c r="AK44" i="2"/>
  <c r="AL44" i="2"/>
  <c r="AJ44" i="2"/>
  <c r="AI30" i="2"/>
  <c r="AN30" i="2" s="1"/>
  <c r="AI42" i="2"/>
  <c r="AN42" i="2" s="1"/>
  <c r="AL39" i="2"/>
  <c r="AJ39" i="2"/>
  <c r="AK39" i="2"/>
  <c r="AI40" i="2"/>
  <c r="AN40" i="2" s="1"/>
  <c r="AL36" i="2"/>
  <c r="AJ36" i="2"/>
  <c r="AK36" i="2"/>
  <c r="AQ38" i="2"/>
  <c r="AP38" i="2"/>
  <c r="AO38" i="2"/>
  <c r="AI33" i="2"/>
  <c r="AN33" i="2" s="1"/>
  <c r="AH37" i="2"/>
  <c r="AL37" i="2"/>
  <c r="AJ37" i="2"/>
  <c r="AK37" i="2"/>
  <c r="AI27" i="2"/>
  <c r="AN27" i="2" s="1"/>
  <c r="AI35" i="2"/>
  <c r="AN35" i="2" s="1"/>
  <c r="AH32" i="2"/>
  <c r="AJ32" i="2"/>
  <c r="AK32" i="2"/>
  <c r="AL32" i="2"/>
  <c r="AI25" i="2"/>
  <c r="AN25" i="2" s="1"/>
  <c r="AI47" i="2"/>
  <c r="AI49" i="2"/>
  <c r="AN49" i="2" s="1"/>
  <c r="AI28" i="2"/>
  <c r="AN28" i="2" s="1"/>
  <c r="AI41" i="2"/>
  <c r="AN41" i="2" s="1"/>
  <c r="AI29" i="2"/>
  <c r="AI39" i="2"/>
  <c r="AI46" i="2"/>
  <c r="AN46" i="2" s="1"/>
  <c r="AI45" i="2"/>
  <c r="AN45" i="2" s="1"/>
  <c r="AI36" i="2"/>
  <c r="AI32" i="2"/>
  <c r="AI20" i="2"/>
  <c r="AI17" i="2"/>
  <c r="AN17" i="2" s="1"/>
  <c r="AI9" i="2"/>
  <c r="AN9" i="2" s="1"/>
  <c r="AH11" i="2"/>
  <c r="AK11" i="2"/>
  <c r="AJ11" i="2"/>
  <c r="AL11" i="2"/>
  <c r="AI15" i="2"/>
  <c r="AN15" i="2" s="1"/>
  <c r="AI13" i="2"/>
  <c r="AN13" i="2" s="1"/>
  <c r="AI21" i="2"/>
  <c r="AN21" i="2" s="1"/>
  <c r="AI10" i="2"/>
  <c r="AN10" i="2" s="1"/>
  <c r="AI16" i="2"/>
  <c r="AN16" i="2" s="1"/>
  <c r="AI18" i="2"/>
  <c r="AN18" i="2" s="1"/>
  <c r="AH19" i="2"/>
  <c r="AK19" i="2"/>
  <c r="AL19" i="2"/>
  <c r="AJ19" i="2"/>
  <c r="AI12" i="2"/>
  <c r="AN12" i="2" s="1"/>
  <c r="AI7" i="2"/>
  <c r="AN7" i="2" s="1"/>
  <c r="AI6" i="2"/>
  <c r="AN6" i="2" s="1"/>
  <c r="AI19" i="2"/>
  <c r="AH14" i="2"/>
  <c r="AJ14" i="2"/>
  <c r="AK14" i="2"/>
  <c r="AL14" i="2"/>
  <c r="AI14" i="2"/>
  <c r="AJ22" i="2"/>
  <c r="AI22" i="2"/>
  <c r="AL22" i="2"/>
  <c r="AK22" i="2"/>
  <c r="AH20" i="2"/>
  <c r="AK20" i="2"/>
  <c r="AJ20" i="2"/>
  <c r="AL20" i="2"/>
  <c r="AI11" i="2"/>
  <c r="AI5" i="2"/>
  <c r="AN5" i="2" s="1"/>
  <c r="BP43" i="10"/>
  <c r="BQ43" i="10" s="1"/>
  <c r="BR43" i="10" s="1"/>
  <c r="BP41" i="10"/>
  <c r="BQ41" i="10" s="1"/>
  <c r="BR41" i="10" s="1"/>
  <c r="BP32" i="10"/>
  <c r="BQ32" i="10" s="1"/>
  <c r="BR32" i="10" s="1"/>
  <c r="BZ11" i="10"/>
  <c r="CA11" i="10" s="1"/>
  <c r="CB11" i="10" s="1"/>
  <c r="BE31" i="10"/>
  <c r="BO31" i="10"/>
  <c r="BP28" i="10"/>
  <c r="BQ28" i="10" s="1"/>
  <c r="BR28" i="10" s="1"/>
  <c r="BP30" i="10"/>
  <c r="BQ30" i="10" s="1"/>
  <c r="BR30" i="10" s="1"/>
  <c r="BP33" i="10"/>
  <c r="BQ33" i="10" s="1"/>
  <c r="BR33" i="10" s="1"/>
  <c r="BP35" i="10"/>
  <c r="BQ35" i="10" s="1"/>
  <c r="BR35" i="10" s="1"/>
  <c r="BP49" i="10"/>
  <c r="BQ49" i="10" s="1"/>
  <c r="BR49" i="10" s="1"/>
  <c r="BP12" i="10"/>
  <c r="BQ12" i="10" s="1"/>
  <c r="BR12" i="10" s="1"/>
  <c r="BP22" i="10"/>
  <c r="BQ22" i="10" s="1"/>
  <c r="BR22" i="10"/>
  <c r="BP26" i="10"/>
  <c r="BQ26" i="10" s="1"/>
  <c r="BR26" i="10"/>
  <c r="BP11" i="10"/>
  <c r="BQ11" i="10" s="1"/>
  <c r="BR11" i="10"/>
  <c r="BE42" i="10"/>
  <c r="BP27" i="10"/>
  <c r="BQ27" i="10" s="1"/>
  <c r="BR27" i="10" s="1"/>
  <c r="BP5" i="10"/>
  <c r="BQ5" i="10" s="1"/>
  <c r="BR5" i="10"/>
  <c r="BP34" i="10"/>
  <c r="BQ34" i="10" s="1"/>
  <c r="BR34" i="10" s="1"/>
  <c r="BH44" i="10"/>
  <c r="BP15" i="10"/>
  <c r="BQ15" i="10" s="1"/>
  <c r="BR15" i="10" s="1"/>
  <c r="BP18" i="10"/>
  <c r="BQ18" i="10" s="1"/>
  <c r="BR18" i="10" s="1"/>
  <c r="BW7" i="10"/>
  <c r="BX7" i="10" s="1"/>
  <c r="BY7" i="10" s="1"/>
  <c r="BO35" i="10"/>
  <c r="BH21" i="10"/>
  <c r="BR21" i="10"/>
  <c r="BP51" i="10"/>
  <c r="BQ51" i="10" s="1"/>
  <c r="BR51" i="10" s="1"/>
  <c r="BR9" i="10"/>
  <c r="BE8" i="10"/>
  <c r="BH16" i="10"/>
  <c r="BP20" i="10"/>
  <c r="BQ20" i="10" s="1"/>
  <c r="BR20" i="10" s="1"/>
  <c r="BW15" i="10"/>
  <c r="BX15" i="10" s="1"/>
  <c r="BY15" i="10" s="1"/>
  <c r="BR44" i="10"/>
  <c r="BP38" i="10"/>
  <c r="BQ38" i="10" s="1"/>
  <c r="BR38" i="10" s="1"/>
  <c r="BP14" i="10"/>
  <c r="BQ14" i="10" s="1"/>
  <c r="BR14" i="10" s="1"/>
  <c r="BP17" i="10"/>
  <c r="BQ17" i="10" s="1"/>
  <c r="BR17" i="10" s="1"/>
  <c r="BH9" i="10"/>
  <c r="BR6" i="10"/>
  <c r="BR25" i="10"/>
  <c r="BI25" i="10"/>
  <c r="BM50" i="10"/>
  <c r="BN50" i="10" s="1"/>
  <c r="BO50" i="10" s="1"/>
  <c r="BM38" i="10"/>
  <c r="BN38" i="10" s="1"/>
  <c r="BO38" i="10" s="1"/>
  <c r="BF39" i="10"/>
  <c r="BG39" i="10" s="1"/>
  <c r="BH39" i="10" s="1"/>
  <c r="BF40" i="10"/>
  <c r="BG40" i="10" s="1"/>
  <c r="BH40" i="10" s="1"/>
  <c r="BM42" i="10"/>
  <c r="BN42" i="10" s="1"/>
  <c r="BO42" i="10" s="1"/>
  <c r="BH46" i="10"/>
  <c r="BH33" i="10"/>
  <c r="BM13" i="10"/>
  <c r="BN13" i="10" s="1"/>
  <c r="BO13" i="10" s="1"/>
  <c r="BF15" i="10"/>
  <c r="BG15" i="10" s="1"/>
  <c r="BH15" i="10" s="1"/>
  <c r="BZ25" i="10"/>
  <c r="CA25" i="10" s="1"/>
  <c r="BE16" i="10"/>
  <c r="BE22" i="10"/>
  <c r="BE21" i="10"/>
  <c r="BE11" i="10"/>
  <c r="BO9" i="10"/>
  <c r="BF51" i="10"/>
  <c r="BG51" i="10" s="1"/>
  <c r="BH51" i="10" s="1"/>
  <c r="BH29" i="10"/>
  <c r="BF38" i="10"/>
  <c r="BG38" i="10" s="1"/>
  <c r="BH38" i="10" s="1"/>
  <c r="BH13" i="10"/>
  <c r="BF13" i="10"/>
  <c r="BG13" i="10" s="1"/>
  <c r="BM37" i="10"/>
  <c r="BN37" i="10" s="1"/>
  <c r="BO37" i="10" s="1"/>
  <c r="BZ28" i="10"/>
  <c r="CA28" i="10" s="1"/>
  <c r="CB28" i="10" s="1"/>
  <c r="BZ9" i="10"/>
  <c r="CA9" i="10" s="1"/>
  <c r="CB9" i="10" s="1"/>
  <c r="BE29" i="10"/>
  <c r="BM46" i="10"/>
  <c r="BN46" i="10" s="1"/>
  <c r="BO46" i="10" s="1"/>
  <c r="BF47" i="10"/>
  <c r="BG47" i="10" s="1"/>
  <c r="BH47" i="10" s="1"/>
  <c r="BF37" i="10"/>
  <c r="BG37" i="10" s="1"/>
  <c r="BH37" i="10" s="1"/>
  <c r="BF45" i="10"/>
  <c r="BG45" i="10" s="1"/>
  <c r="BH45" i="10" s="1"/>
  <c r="BM40" i="10"/>
  <c r="BN40" i="10" s="1"/>
  <c r="BO40" i="10" s="1"/>
  <c r="BM10" i="10"/>
  <c r="BN10" i="10" s="1"/>
  <c r="BO10" i="10" s="1"/>
  <c r="BM5" i="10"/>
  <c r="BN5" i="10" s="1"/>
  <c r="BZ10" i="10"/>
  <c r="CA10" i="10" s="1"/>
  <c r="CB10" i="10" s="1"/>
  <c r="BF7" i="10"/>
  <c r="BG7" i="10" s="1"/>
  <c r="BH7" i="10" s="1"/>
  <c r="BO22" i="10"/>
  <c r="BH8" i="10"/>
  <c r="BO44" i="10"/>
  <c r="BH35" i="10"/>
  <c r="BF32" i="10"/>
  <c r="BG32" i="10" s="1"/>
  <c r="BH32" i="10" s="1"/>
  <c r="BF14" i="10"/>
  <c r="BG14" i="10" s="1"/>
  <c r="BH14" i="10" s="1"/>
  <c r="BO20" i="10"/>
  <c r="BO11" i="10"/>
  <c r="BM51" i="10"/>
  <c r="BN51" i="10" s="1"/>
  <c r="BO51" i="10" s="1"/>
  <c r="BF19" i="10"/>
  <c r="BG19" i="10" s="1"/>
  <c r="BH19" i="10" s="1"/>
  <c r="BF42" i="10"/>
  <c r="BG42" i="10" s="1"/>
  <c r="BH42" i="10" s="1"/>
  <c r="BM48" i="10"/>
  <c r="BN48" i="10" s="1"/>
  <c r="BO48" i="10" s="1"/>
  <c r="BF43" i="10"/>
  <c r="BG43" i="10" s="1"/>
  <c r="BH43" i="10" s="1"/>
  <c r="BM47" i="10"/>
  <c r="BN47" i="10" s="1"/>
  <c r="BO47" i="10" s="1"/>
  <c r="BO49" i="10"/>
  <c r="BO15" i="10"/>
  <c r="BF10" i="10"/>
  <c r="BG10" i="10" s="1"/>
  <c r="BH10" i="10" s="1"/>
  <c r="BF6" i="10"/>
  <c r="BG6" i="10" s="1"/>
  <c r="BH6" i="10" s="1"/>
  <c r="BP40" i="10"/>
  <c r="BQ40" i="10" s="1"/>
  <c r="BR40" i="10" s="1"/>
  <c r="BM45" i="10"/>
  <c r="BN45" i="10" s="1"/>
  <c r="BO45" i="10" s="1"/>
  <c r="BZ19" i="10"/>
  <c r="CA19" i="10" s="1"/>
  <c r="CB19" i="10" s="1"/>
  <c r="BE19" i="10"/>
  <c r="BO26" i="10"/>
  <c r="BH27" i="10"/>
  <c r="BF34" i="10"/>
  <c r="BG34" i="10" s="1"/>
  <c r="BH34" i="10" s="1"/>
  <c r="BM14" i="10"/>
  <c r="BN14" i="10" s="1"/>
  <c r="BO14" i="10" s="1"/>
  <c r="BF20" i="10"/>
  <c r="BG20" i="10" s="1"/>
  <c r="BH20" i="10" s="1"/>
  <c r="BF22" i="10"/>
  <c r="BG22" i="10" s="1"/>
  <c r="BH22" i="10" s="1"/>
  <c r="BM41" i="10"/>
  <c r="BN41" i="10" s="1"/>
  <c r="BO41" i="10" s="1"/>
  <c r="BF18" i="10"/>
  <c r="BG18" i="10" s="1"/>
  <c r="BH18" i="10" s="1"/>
  <c r="BM43" i="10"/>
  <c r="BN43" i="10" s="1"/>
  <c r="BO43" i="10" s="1"/>
  <c r="BO28" i="10"/>
  <c r="BE12" i="10"/>
  <c r="BO19" i="10"/>
  <c r="BO16" i="10"/>
  <c r="BO39" i="10"/>
  <c r="BF50" i="10"/>
  <c r="BG50" i="10" s="1"/>
  <c r="BH50" i="10" s="1"/>
  <c r="BF25" i="10"/>
  <c r="BG25" i="10" s="1"/>
  <c r="BE18" i="10"/>
  <c r="BO18" i="10"/>
  <c r="BE6" i="10"/>
  <c r="BO8" i="10"/>
  <c r="BF49" i="10"/>
  <c r="BG49" i="10" s="1"/>
  <c r="BH49" i="10" s="1"/>
  <c r="BF41" i="10"/>
  <c r="BG41" i="10" s="1"/>
  <c r="BH41" i="10" s="1"/>
  <c r="BF31" i="10"/>
  <c r="BG31" i="10" s="1"/>
  <c r="BH31" i="10" s="1"/>
  <c r="BF26" i="10"/>
  <c r="BG26" i="10" s="1"/>
  <c r="BH26" i="10" s="1"/>
  <c r="BW10" i="10"/>
  <c r="BX10" i="10" s="1"/>
  <c r="BY10" i="10" s="1"/>
  <c r="BM21" i="10"/>
  <c r="BN21" i="10" s="1"/>
  <c r="BO21" i="10" s="1"/>
  <c r="BE5" i="10"/>
  <c r="BI5" i="10"/>
  <c r="BF5" i="10"/>
  <c r="BG5" i="10" s="1"/>
  <c r="BO25" i="10"/>
  <c r="BF30" i="10"/>
  <c r="BG30" i="10" s="1"/>
  <c r="BH30" i="10" s="1"/>
  <c r="BM27" i="10"/>
  <c r="BN27" i="10" s="1"/>
  <c r="BO27" i="10" s="1"/>
  <c r="BM7" i="10"/>
  <c r="BN7" i="10" s="1"/>
  <c r="BO7" i="10" s="1"/>
  <c r="BF29" i="10"/>
  <c r="BG29" i="10" s="1"/>
  <c r="BM17" i="10"/>
  <c r="BN17" i="10" s="1"/>
  <c r="BO17" i="10" s="1"/>
  <c r="BE41" i="10"/>
  <c r="BE48" i="10"/>
  <c r="BF17" i="10"/>
  <c r="BG17" i="10" s="1"/>
  <c r="BH17" i="10" s="1"/>
  <c r="BE15" i="10"/>
  <c r="BE43" i="10"/>
  <c r="BE27" i="10"/>
  <c r="BE34" i="10"/>
  <c r="BE9" i="10"/>
  <c r="BE49" i="10"/>
  <c r="BE17" i="10"/>
  <c r="BE37" i="10"/>
  <c r="BE44" i="10"/>
  <c r="BE28" i="10"/>
  <c r="BE51" i="10"/>
  <c r="BE35" i="10"/>
  <c r="AM25" i="10"/>
  <c r="AP9" i="9"/>
  <c r="AZ9" i="9"/>
  <c r="AU9" i="9"/>
  <c r="AU35" i="9"/>
  <c r="AP35" i="9"/>
  <c r="AZ35" i="9"/>
  <c r="AZ50" i="9"/>
  <c r="AU50" i="9"/>
  <c r="AP50" i="9"/>
  <c r="AU7" i="9"/>
  <c r="AZ5" i="9"/>
  <c r="AP5" i="9"/>
  <c r="AU5" i="9"/>
  <c r="AZ26" i="9"/>
  <c r="AU26" i="9"/>
  <c r="AP26" i="9"/>
  <c r="AP41" i="9"/>
  <c r="AZ41" i="9"/>
  <c r="AU41" i="9"/>
  <c r="AZ42" i="9"/>
  <c r="AU42" i="9"/>
  <c r="AP42" i="9"/>
  <c r="AU43" i="9"/>
  <c r="AP43" i="9"/>
  <c r="AZ43" i="9"/>
  <c r="AU27" i="9"/>
  <c r="AP27" i="9"/>
  <c r="AZ27" i="9"/>
  <c r="AU11" i="9"/>
  <c r="AP11" i="9"/>
  <c r="AZ11" i="9"/>
  <c r="AZ34" i="9"/>
  <c r="AU34" i="9"/>
  <c r="AP34" i="9"/>
  <c r="BA5" i="9"/>
  <c r="AP49" i="9"/>
  <c r="AZ49" i="9"/>
  <c r="AU49" i="9"/>
  <c r="AP33" i="9"/>
  <c r="AZ33" i="9"/>
  <c r="AU33" i="9"/>
  <c r="AP6" i="9"/>
  <c r="AZ6" i="9"/>
  <c r="AU6" i="9"/>
  <c r="AU19" i="9"/>
  <c r="AP19" i="9"/>
  <c r="AZ19" i="9"/>
  <c r="AP34" i="8"/>
  <c r="AU19" i="8"/>
  <c r="AU41" i="8"/>
  <c r="AU22" i="8"/>
  <c r="AU11" i="8"/>
  <c r="AU14" i="8"/>
  <c r="AU33" i="8"/>
  <c r="AU26" i="8"/>
  <c r="AU30" i="8"/>
  <c r="AU15" i="8"/>
  <c r="AS17" i="8"/>
  <c r="AT17" i="8" s="1"/>
  <c r="AU17" i="8" s="1"/>
  <c r="AU25" i="8"/>
  <c r="AS36" i="8"/>
  <c r="AT36" i="8" s="1"/>
  <c r="AU36" i="8" s="1"/>
  <c r="AU12" i="8"/>
  <c r="AU16" i="8"/>
  <c r="AU49" i="8"/>
  <c r="AP32" i="8"/>
  <c r="AU9" i="8"/>
  <c r="AU7" i="8"/>
  <c r="AP48" i="8"/>
  <c r="AX46" i="8"/>
  <c r="AY46" i="8" s="1"/>
  <c r="AZ46" i="8" s="1"/>
  <c r="AP33" i="8"/>
  <c r="AN28" i="8"/>
  <c r="AO28" i="8" s="1"/>
  <c r="AP28" i="8" s="1"/>
  <c r="AN42" i="8"/>
  <c r="AO42" i="8" s="1"/>
  <c r="AP42" i="8" s="1"/>
  <c r="AP38" i="8"/>
  <c r="AN21" i="8"/>
  <c r="AO21" i="8" s="1"/>
  <c r="AP21" i="8" s="1"/>
  <c r="AN43" i="8"/>
  <c r="AO43" i="8" s="1"/>
  <c r="AP43" i="8" s="1"/>
  <c r="AN18" i="8"/>
  <c r="AO18" i="8" s="1"/>
  <c r="AP18" i="8" s="1"/>
  <c r="AN14" i="8"/>
  <c r="AO14" i="8" s="1"/>
  <c r="AP14" i="8" s="1"/>
  <c r="AP25" i="8"/>
  <c r="AN49" i="8"/>
  <c r="AO49" i="8" s="1"/>
  <c r="AP49" i="8" s="1"/>
  <c r="AS20" i="8"/>
  <c r="AT20" i="8" s="1"/>
  <c r="AU20" i="8" s="1"/>
  <c r="AS43" i="8"/>
  <c r="AT43" i="8" s="1"/>
  <c r="AU43" i="8" s="1"/>
  <c r="AU25" i="6"/>
  <c r="AU6" i="6"/>
  <c r="AV5" i="6"/>
  <c r="AU37" i="6"/>
  <c r="AU18" i="6"/>
  <c r="AS29" i="6"/>
  <c r="AT29" i="6" s="1"/>
  <c r="AP16" i="6"/>
  <c r="AP28" i="6"/>
  <c r="AU28" i="6"/>
  <c r="AS36" i="6"/>
  <c r="AT36" i="6" s="1"/>
  <c r="AU36" i="6" s="1"/>
  <c r="AP27" i="6"/>
  <c r="AS44" i="6"/>
  <c r="AT44" i="6" s="1"/>
  <c r="AU44" i="6" s="1"/>
  <c r="AN18" i="6"/>
  <c r="AO18" i="6" s="1"/>
  <c r="AP18" i="6" s="1"/>
  <c r="AN11" i="6"/>
  <c r="AO11" i="6" s="1"/>
  <c r="AP11" i="6" s="1"/>
  <c r="AN10" i="6"/>
  <c r="AO10" i="6" s="1"/>
  <c r="AP10" i="6" s="1"/>
  <c r="AN43" i="6"/>
  <c r="AO43" i="6" s="1"/>
  <c r="AP43" i="6" s="1"/>
  <c r="AN9" i="6"/>
  <c r="AO9" i="6" s="1"/>
  <c r="AP9" i="6" s="1"/>
  <c r="AN48" i="6"/>
  <c r="AO48" i="6" s="1"/>
  <c r="AP48" i="6" s="1"/>
  <c r="AN33" i="6"/>
  <c r="AO33" i="6" s="1"/>
  <c r="AP33" i="6" s="1"/>
  <c r="AN19" i="6"/>
  <c r="AO19" i="6" s="1"/>
  <c r="AP19" i="6" s="1"/>
  <c r="AN36" i="6"/>
  <c r="AO36" i="6" s="1"/>
  <c r="AP36" i="6" s="1"/>
  <c r="AN7" i="6"/>
  <c r="AO7" i="6" s="1"/>
  <c r="AP7" i="6" s="1"/>
  <c r="AN40" i="6"/>
  <c r="AO40" i="6" s="1"/>
  <c r="AP40" i="6" s="1"/>
  <c r="AN44" i="6"/>
  <c r="AO44" i="6" s="1"/>
  <c r="AP44" i="6" s="1"/>
  <c r="AN29" i="6"/>
  <c r="AO29" i="6" s="1"/>
  <c r="AP29" i="6"/>
  <c r="AN15" i="6"/>
  <c r="AO15" i="6" s="1"/>
  <c r="AP15" i="6" s="1"/>
  <c r="AN5" i="6"/>
  <c r="AO5" i="6" s="1"/>
  <c r="AN25" i="6"/>
  <c r="AO25" i="6" s="1"/>
  <c r="AP25" i="6" s="1"/>
  <c r="AP37" i="6"/>
  <c r="AN30" i="6"/>
  <c r="AO30" i="6" s="1"/>
  <c r="AP30" i="6"/>
  <c r="AN17" i="6"/>
  <c r="AO17" i="6" s="1"/>
  <c r="AP17" i="6" s="1"/>
  <c r="AP7" i="5"/>
  <c r="AP25" i="5"/>
  <c r="AS36" i="5"/>
  <c r="AT36" i="5" s="1"/>
  <c r="AU36" i="5" s="1"/>
  <c r="AN18" i="5"/>
  <c r="AO18" i="5" s="1"/>
  <c r="AP18" i="5" s="1"/>
  <c r="AN14" i="5"/>
  <c r="AO14" i="5" s="1"/>
  <c r="AP14" i="5" s="1"/>
  <c r="AP5" i="5"/>
  <c r="AN10" i="5"/>
  <c r="AO10" i="5" s="1"/>
  <c r="AP10" i="5" s="1"/>
  <c r="AV47" i="1"/>
  <c r="AV43" i="1"/>
  <c r="AV11" i="1"/>
  <c r="AV39" i="1"/>
  <c r="AQ10" i="1"/>
  <c r="AV10" i="1"/>
  <c r="AV17" i="1"/>
  <c r="AV6" i="1"/>
  <c r="AV14" i="1"/>
  <c r="AV5" i="1"/>
  <c r="AV30" i="1"/>
  <c r="AV35" i="1"/>
  <c r="AV46" i="1"/>
  <c r="AV22" i="1"/>
  <c r="AV32" i="1"/>
  <c r="AT20" i="1"/>
  <c r="AU20" i="1" s="1"/>
  <c r="AV20" i="1" s="1"/>
  <c r="AV31" i="1"/>
  <c r="AV9" i="1"/>
  <c r="AV18" i="1"/>
  <c r="AV27" i="1"/>
  <c r="AQ18" i="1"/>
  <c r="AN5" i="10"/>
  <c r="AN25" i="10"/>
  <c r="AQ25" i="10"/>
  <c r="AP25" i="10"/>
  <c r="AM5" i="10"/>
  <c r="AP5" i="10"/>
  <c r="AR25" i="10"/>
  <c r="AR5" i="10"/>
  <c r="AO25" i="10"/>
  <c r="AO5" i="10"/>
  <c r="AQ5" i="10"/>
  <c r="AD5" i="9"/>
  <c r="AN16" i="8"/>
  <c r="AO16" i="8" s="1"/>
  <c r="AP16" i="8" s="1"/>
  <c r="AS37" i="8"/>
  <c r="AT37" i="8" s="1"/>
  <c r="AU37" i="8" s="1"/>
  <c r="AH25" i="9"/>
  <c r="AE25" i="9"/>
  <c r="AD25" i="9"/>
  <c r="AG25" i="9"/>
  <c r="AF5" i="9"/>
  <c r="AI5" i="9"/>
  <c r="AF25" i="9"/>
  <c r="AI25" i="9"/>
  <c r="AH5" i="9"/>
  <c r="AE5" i="9"/>
  <c r="AX28" i="8"/>
  <c r="AY28" i="8" s="1"/>
  <c r="AZ28" i="8" s="1"/>
  <c r="AS5" i="8"/>
  <c r="AT5" i="8" s="1"/>
  <c r="AU5" i="8" s="1"/>
  <c r="AN41" i="8"/>
  <c r="AO41" i="8" s="1"/>
  <c r="AP41" i="8" s="1"/>
  <c r="AN30" i="8"/>
  <c r="AO30" i="8" s="1"/>
  <c r="AP30" i="8" s="1"/>
  <c r="AD5" i="8"/>
  <c r="AG25" i="8"/>
  <c r="AN26" i="8"/>
  <c r="AO26" i="8" s="1"/>
  <c r="AP26" i="8" s="1"/>
  <c r="AN13" i="8"/>
  <c r="AO13" i="8" s="1"/>
  <c r="AP13" i="8" s="1"/>
  <c r="AN9" i="8"/>
  <c r="AO9" i="8" s="1"/>
  <c r="AP9" i="8" s="1"/>
  <c r="AN5" i="8"/>
  <c r="AO5" i="8" s="1"/>
  <c r="AP5" i="8" s="1"/>
  <c r="AX10" i="8"/>
  <c r="AY10" i="8" s="1"/>
  <c r="AZ10" i="8" s="1"/>
  <c r="AX11" i="8"/>
  <c r="AY11" i="8" s="1"/>
  <c r="AZ11" i="8" s="1"/>
  <c r="AS10" i="8"/>
  <c r="AT10" i="8" s="1"/>
  <c r="AU10" i="8" s="1"/>
  <c r="AS45" i="8"/>
  <c r="AT45" i="8" s="1"/>
  <c r="AU45" i="8" s="1"/>
  <c r="AS38" i="8"/>
  <c r="AT38" i="8" s="1"/>
  <c r="AU38" i="8" s="1"/>
  <c r="AS46" i="8"/>
  <c r="AT46" i="8" s="1"/>
  <c r="AU46" i="8" s="1"/>
  <c r="AH25" i="8"/>
  <c r="AE25" i="8"/>
  <c r="AN35" i="8"/>
  <c r="AO35" i="8" s="1"/>
  <c r="AP35" i="8" s="1"/>
  <c r="AX17" i="8"/>
  <c r="AY17" i="8" s="1"/>
  <c r="AZ17" i="8" s="1"/>
  <c r="AF25" i="8"/>
  <c r="AI25" i="8"/>
  <c r="AH5" i="8"/>
  <c r="AE5" i="8"/>
  <c r="AN10" i="8"/>
  <c r="AO10" i="8" s="1"/>
  <c r="AP10" i="8" s="1"/>
  <c r="AN6" i="8"/>
  <c r="AO6" i="8" s="1"/>
  <c r="AP6" i="8" s="1"/>
  <c r="AF5" i="8"/>
  <c r="AI5" i="8"/>
  <c r="AN15" i="8"/>
  <c r="AO15" i="8" s="1"/>
  <c r="AP15" i="8" s="1"/>
  <c r="AS28" i="8"/>
  <c r="AT28" i="8" s="1"/>
  <c r="AU28" i="8" s="1"/>
  <c r="AN19" i="8"/>
  <c r="AO19" i="8" s="1"/>
  <c r="AP19" i="8" s="1"/>
  <c r="AN37" i="8"/>
  <c r="AO37" i="8" s="1"/>
  <c r="AP37" i="8" s="1"/>
  <c r="AS31" i="8"/>
  <c r="AT31" i="8" s="1"/>
  <c r="AU31" i="8" s="1"/>
  <c r="AN8" i="8"/>
  <c r="AO8" i="8" s="1"/>
  <c r="AP8" i="8" s="1"/>
  <c r="AN20" i="8"/>
  <c r="AO20" i="8" s="1"/>
  <c r="AP20" i="8" s="1"/>
  <c r="AN22" i="8"/>
  <c r="AO22" i="8" s="1"/>
  <c r="AP22" i="8" s="1"/>
  <c r="AX48" i="6"/>
  <c r="AY48" i="6" s="1"/>
  <c r="AZ48" i="6" s="1"/>
  <c r="AN6" i="5"/>
  <c r="AO6" i="5" s="1"/>
  <c r="AP6" i="5" s="1"/>
  <c r="AO36" i="1"/>
  <c r="AP36" i="1" s="1"/>
  <c r="AQ36" i="1" s="1"/>
  <c r="AD5" i="6"/>
  <c r="AX21" i="6"/>
  <c r="AY21" i="6" s="1"/>
  <c r="AZ21" i="6" s="1"/>
  <c r="AS29" i="5"/>
  <c r="AT29" i="5" s="1"/>
  <c r="AU29" i="5" s="1"/>
  <c r="AS5" i="5"/>
  <c r="AT5" i="5" s="1"/>
  <c r="AU5" i="5" s="1"/>
  <c r="AS26" i="5"/>
  <c r="AT26" i="5" s="1"/>
  <c r="AU26" i="5" s="1"/>
  <c r="AN47" i="5"/>
  <c r="AO47" i="5" s="1"/>
  <c r="AP47" i="5" s="1"/>
  <c r="AS47" i="5"/>
  <c r="AT47" i="5" s="1"/>
  <c r="AU47" i="5" s="1"/>
  <c r="AS22" i="5"/>
  <c r="AT22" i="5" s="1"/>
  <c r="AU22" i="5" s="1"/>
  <c r="AN26" i="5"/>
  <c r="AO26" i="5" s="1"/>
  <c r="AX46" i="5"/>
  <c r="AY46" i="5" s="1"/>
  <c r="AZ46" i="5" s="1"/>
  <c r="AN42" i="5"/>
  <c r="AO42" i="5" s="1"/>
  <c r="AP42" i="5" s="1"/>
  <c r="AN45" i="5"/>
  <c r="AO45" i="5" s="1"/>
  <c r="AP45" i="5" s="1"/>
  <c r="AS50" i="5"/>
  <c r="AT50" i="5" s="1"/>
  <c r="AU50" i="5" s="1"/>
  <c r="AX50" i="5"/>
  <c r="AY50" i="5" s="1"/>
  <c r="AZ50" i="5" s="1"/>
  <c r="AX38" i="5"/>
  <c r="AY38" i="5" s="1"/>
  <c r="AZ38" i="5" s="1"/>
  <c r="AX21" i="5"/>
  <c r="AY21" i="5" s="1"/>
  <c r="AZ21" i="5" s="1"/>
  <c r="AS31" i="5"/>
  <c r="AT31" i="5" s="1"/>
  <c r="AU31" i="5" s="1"/>
  <c r="AX45" i="5"/>
  <c r="AY45" i="5" s="1"/>
  <c r="AZ45" i="5" s="1"/>
  <c r="AX47" i="5"/>
  <c r="AY47" i="5" s="1"/>
  <c r="AZ47" i="5" s="1"/>
  <c r="AN40" i="5"/>
  <c r="AO40" i="5" s="1"/>
  <c r="AP40" i="5" s="1"/>
  <c r="AX13" i="5"/>
  <c r="AY13" i="5" s="1"/>
  <c r="AZ13" i="5" s="1"/>
  <c r="AS6" i="5"/>
  <c r="AT6" i="5" s="1"/>
  <c r="AU6" i="5" s="1"/>
  <c r="AS44" i="5"/>
  <c r="AT44" i="5" s="1"/>
  <c r="AU44" i="5" s="1"/>
  <c r="AX48" i="5"/>
  <c r="AY48" i="5" s="1"/>
  <c r="AZ48" i="5" s="1"/>
  <c r="AX40" i="5"/>
  <c r="AY40" i="5" s="1"/>
  <c r="AZ40" i="5" s="1"/>
  <c r="AX33" i="5"/>
  <c r="AY33" i="5" s="1"/>
  <c r="AZ33" i="5" s="1"/>
  <c r="AX25" i="5"/>
  <c r="AY25" i="5" s="1"/>
  <c r="AS27" i="5"/>
  <c r="AT27" i="5" s="1"/>
  <c r="AU27" i="5" s="1"/>
  <c r="AS13" i="5"/>
  <c r="AT13" i="5" s="1"/>
  <c r="AU13" i="5" s="1"/>
  <c r="AS49" i="5"/>
  <c r="AT49" i="5" s="1"/>
  <c r="AU49" i="5" s="1"/>
  <c r="AS34" i="5"/>
  <c r="AT34" i="5" s="1"/>
  <c r="AU34" i="5" s="1"/>
  <c r="AS8" i="5"/>
  <c r="AT8" i="5" s="1"/>
  <c r="AU8" i="5" s="1"/>
  <c r="AN39" i="5"/>
  <c r="AO39" i="5" s="1"/>
  <c r="AP39" i="5" s="1"/>
  <c r="AN22" i="5"/>
  <c r="AO22" i="5" s="1"/>
  <c r="AP22" i="5" s="1"/>
  <c r="AS32" i="5"/>
  <c r="AT32" i="5" s="1"/>
  <c r="AU32" i="5" s="1"/>
  <c r="AN37" i="5"/>
  <c r="AO37" i="5" s="1"/>
  <c r="AP37" i="5" s="1"/>
  <c r="AS33" i="5"/>
  <c r="AT33" i="5" s="1"/>
  <c r="AU33" i="5" s="1"/>
  <c r="AX9" i="5"/>
  <c r="AY9" i="5" s="1"/>
  <c r="AZ9" i="5" s="1"/>
  <c r="AN20" i="5"/>
  <c r="AO20" i="5" s="1"/>
  <c r="AP20" i="5" s="1"/>
  <c r="AS38" i="5"/>
  <c r="AT38" i="5" s="1"/>
  <c r="AU38" i="5" s="1"/>
  <c r="AS45" i="5"/>
  <c r="AT45" i="5" s="1"/>
  <c r="AU45" i="5" s="1"/>
  <c r="AS37" i="5"/>
  <c r="AT37" i="5" s="1"/>
  <c r="AU37" i="5" s="1"/>
  <c r="AS30" i="5"/>
  <c r="AT30" i="5" s="1"/>
  <c r="AU30" i="5" s="1"/>
  <c r="AS20" i="5"/>
  <c r="AT20" i="5" s="1"/>
  <c r="AU20" i="5" s="1"/>
  <c r="AS12" i="5"/>
  <c r="AT12" i="5" s="1"/>
  <c r="AU12" i="5" s="1"/>
  <c r="AN43" i="5"/>
  <c r="AO43" i="5" s="1"/>
  <c r="AP43" i="5" s="1"/>
  <c r="AN28" i="5"/>
  <c r="AO28" i="5" s="1"/>
  <c r="AP28" i="5" s="1"/>
  <c r="AS43" i="5"/>
  <c r="AT43" i="5" s="1"/>
  <c r="AU43" i="5" s="1"/>
  <c r="AS28" i="5"/>
  <c r="AT28" i="5" s="1"/>
  <c r="AU28" i="5" s="1"/>
  <c r="AS18" i="5"/>
  <c r="AT18" i="5" s="1"/>
  <c r="AU18" i="5" s="1"/>
  <c r="AS10" i="5"/>
  <c r="AT10" i="5" s="1"/>
  <c r="AU10" i="5" s="1"/>
  <c r="AN41" i="5"/>
  <c r="AO41" i="5" s="1"/>
  <c r="AP41" i="5" s="1"/>
  <c r="AN30" i="5"/>
  <c r="AO30" i="5" s="1"/>
  <c r="AP30" i="5" s="1"/>
  <c r="AS46" i="5"/>
  <c r="AT46" i="5" s="1"/>
  <c r="AU46" i="5" s="1"/>
  <c r="AX35" i="5"/>
  <c r="AY35" i="5" s="1"/>
  <c r="AZ35" i="5" s="1"/>
  <c r="AX17" i="5"/>
  <c r="AY17" i="5" s="1"/>
  <c r="AZ17" i="5" s="1"/>
  <c r="AN12" i="5"/>
  <c r="AO12" i="5" s="1"/>
  <c r="AP12" i="5" s="1"/>
  <c r="AN46" i="5"/>
  <c r="AO46" i="5" s="1"/>
  <c r="AP46" i="5" s="1"/>
  <c r="AN34" i="5"/>
  <c r="AO34" i="5" s="1"/>
  <c r="AP34" i="5" s="1"/>
  <c r="AS42" i="5"/>
  <c r="AT42" i="5" s="1"/>
  <c r="AU42" i="5" s="1"/>
  <c r="AX42" i="5"/>
  <c r="AY42" i="5" s="1"/>
  <c r="AZ42" i="5" s="1"/>
  <c r="AX31" i="5"/>
  <c r="AY31" i="5" s="1"/>
  <c r="AZ31" i="5" s="1"/>
  <c r="AS21" i="5"/>
  <c r="AT21" i="5" s="1"/>
  <c r="AU21" i="5" s="1"/>
  <c r="AS41" i="5"/>
  <c r="AT41" i="5" s="1"/>
  <c r="AU41" i="5" s="1"/>
  <c r="AS16" i="5"/>
  <c r="AT16" i="5" s="1"/>
  <c r="AU16" i="5" s="1"/>
  <c r="AN32" i="5"/>
  <c r="AO32" i="5" s="1"/>
  <c r="AP32" i="5" s="1"/>
  <c r="AS39" i="5"/>
  <c r="AT39" i="5" s="1"/>
  <c r="AU39" i="5" s="1"/>
  <c r="AS14" i="5"/>
  <c r="AT14" i="5" s="1"/>
  <c r="AU14" i="5" s="1"/>
  <c r="AN49" i="5"/>
  <c r="AO49" i="5" s="1"/>
  <c r="AP49" i="5" s="1"/>
  <c r="AX27" i="5"/>
  <c r="AY27" i="5" s="1"/>
  <c r="AZ27" i="5" s="1"/>
  <c r="AN50" i="5"/>
  <c r="AO50" i="5" s="1"/>
  <c r="AP50" i="5" s="1"/>
  <c r="AX49" i="5"/>
  <c r="AY49" i="5" s="1"/>
  <c r="AZ49" i="5" s="1"/>
  <c r="AX41" i="5"/>
  <c r="AY41" i="5" s="1"/>
  <c r="AZ41" i="5" s="1"/>
  <c r="AX43" i="5"/>
  <c r="AY43" i="5" s="1"/>
  <c r="AZ43" i="5" s="1"/>
  <c r="AN48" i="5"/>
  <c r="AO48" i="5" s="1"/>
  <c r="AP48" i="5" s="1"/>
  <c r="AS25" i="5"/>
  <c r="AT25" i="5" s="1"/>
  <c r="AN16" i="5"/>
  <c r="AO16" i="5" s="1"/>
  <c r="AP16" i="5" s="1"/>
  <c r="AS48" i="5"/>
  <c r="AT48" i="5" s="1"/>
  <c r="AU48" i="5" s="1"/>
  <c r="AS40" i="5"/>
  <c r="AT40" i="5" s="1"/>
  <c r="AU40" i="5" s="1"/>
  <c r="AX44" i="5"/>
  <c r="AY44" i="5" s="1"/>
  <c r="AZ44" i="5" s="1"/>
  <c r="AX36" i="5"/>
  <c r="AY36" i="5" s="1"/>
  <c r="AZ36" i="5" s="1"/>
  <c r="AX29" i="5"/>
  <c r="AY29" i="5" s="1"/>
  <c r="AZ29" i="5" s="1"/>
  <c r="AS35" i="5"/>
  <c r="AT35" i="5" s="1"/>
  <c r="AU35" i="5" s="1"/>
  <c r="AS9" i="5"/>
  <c r="AT9" i="5" s="1"/>
  <c r="AU9" i="5" s="1"/>
  <c r="AN44" i="5"/>
  <c r="AO44" i="5" s="1"/>
  <c r="AP44" i="5" s="1"/>
  <c r="AY14" i="1"/>
  <c r="AZ14" i="1" s="1"/>
  <c r="BA14" i="1" s="1"/>
  <c r="AT12" i="1"/>
  <c r="AU12" i="1" s="1"/>
  <c r="AT28" i="1"/>
  <c r="AU28" i="1" s="1"/>
  <c r="AV28" i="1" s="1"/>
  <c r="AY42" i="1"/>
  <c r="AZ42" i="1" s="1"/>
  <c r="BA42" i="1" s="1"/>
  <c r="AY32" i="1"/>
  <c r="AZ32" i="1" s="1"/>
  <c r="BA32" i="1" s="1"/>
  <c r="AY40" i="1"/>
  <c r="AZ40" i="1" s="1"/>
  <c r="BA40" i="1" s="1"/>
  <c r="AY48" i="1"/>
  <c r="AZ48" i="1" s="1"/>
  <c r="BA48" i="1" s="1"/>
  <c r="AY50" i="1"/>
  <c r="AZ50" i="1" s="1"/>
  <c r="BA50" i="1" s="1"/>
  <c r="AI5" i="6"/>
  <c r="AF5" i="6"/>
  <c r="AD25" i="6"/>
  <c r="AG25" i="6"/>
  <c r="AX9" i="6"/>
  <c r="AY9" i="6" s="1"/>
  <c r="AZ9" i="6" s="1"/>
  <c r="AI25" i="6"/>
  <c r="AF25" i="6"/>
  <c r="AE25" i="6"/>
  <c r="AH25" i="6"/>
  <c r="AH5" i="6"/>
  <c r="AE5" i="6"/>
  <c r="AT44" i="1"/>
  <c r="AU44" i="1" s="1"/>
  <c r="AV44" i="1" s="1"/>
  <c r="AO40" i="1"/>
  <c r="AP40" i="1" s="1"/>
  <c r="AQ40" i="1" s="1"/>
  <c r="AT36" i="1"/>
  <c r="AU36" i="1" s="1"/>
  <c r="AV36" i="1" s="1"/>
  <c r="AO50" i="1"/>
  <c r="AP50" i="1" s="1"/>
  <c r="AQ50" i="1" s="1"/>
  <c r="AO6" i="1"/>
  <c r="AP6" i="1" s="1"/>
  <c r="AQ6" i="1" s="1"/>
  <c r="AO22" i="1"/>
  <c r="AP22" i="1" s="1"/>
  <c r="AQ22" i="1" s="1"/>
  <c r="AO42" i="1"/>
  <c r="AP42" i="1" s="1"/>
  <c r="AQ42" i="1" s="1"/>
  <c r="AT26" i="1"/>
  <c r="AU26" i="1" s="1"/>
  <c r="AV26" i="1" s="1"/>
  <c r="AO49" i="1"/>
  <c r="AP49" i="1" s="1"/>
  <c r="AQ49" i="1" s="1"/>
  <c r="AO7" i="1"/>
  <c r="AP7" i="1" s="1"/>
  <c r="AQ7" i="1" s="1"/>
  <c r="AO35" i="1"/>
  <c r="AP35" i="1" s="1"/>
  <c r="AQ35" i="1" s="1"/>
  <c r="AO41" i="1"/>
  <c r="AP41" i="1" s="1"/>
  <c r="AQ41" i="1" s="1"/>
  <c r="AO19" i="1"/>
  <c r="AP19" i="1" s="1"/>
  <c r="AQ19" i="1" s="1"/>
  <c r="AO27" i="1"/>
  <c r="AP27" i="1" s="1"/>
  <c r="AQ27" i="1" s="1"/>
  <c r="AY6" i="1"/>
  <c r="AZ6" i="1" s="1"/>
  <c r="BA6" i="1" s="1"/>
  <c r="AO34" i="1"/>
  <c r="AP34" i="1" s="1"/>
  <c r="AQ34" i="1" s="1"/>
  <c r="AO17" i="1"/>
  <c r="AP17" i="1" s="1"/>
  <c r="AQ17" i="1" s="1"/>
  <c r="AO26" i="1"/>
  <c r="AP26" i="1" s="1"/>
  <c r="AQ26" i="1" s="1"/>
  <c r="AO48" i="1"/>
  <c r="AP48" i="1" s="1"/>
  <c r="AQ48" i="1" s="1"/>
  <c r="AO44" i="1"/>
  <c r="AP44" i="1" s="1"/>
  <c r="AQ44" i="1" s="1"/>
  <c r="AO38" i="1"/>
  <c r="AP38" i="1" s="1"/>
  <c r="AQ38" i="1" s="1"/>
  <c r="AO9" i="1"/>
  <c r="AP9" i="1" s="1"/>
  <c r="AQ9" i="1" s="1"/>
  <c r="AO16" i="1"/>
  <c r="AP16" i="1" s="1"/>
  <c r="AQ16" i="1" s="1"/>
  <c r="AO33" i="1"/>
  <c r="AP33" i="1" s="1"/>
  <c r="AQ33" i="1" s="1"/>
  <c r="AO29" i="1"/>
  <c r="AP29" i="1" s="1"/>
  <c r="AQ29" i="1" s="1"/>
  <c r="AO21" i="1"/>
  <c r="AP21" i="1" s="1"/>
  <c r="AQ21" i="1" s="1"/>
  <c r="AO8" i="1"/>
  <c r="AP8" i="1" s="1"/>
  <c r="AQ8" i="1" s="1"/>
  <c r="AO15" i="1"/>
  <c r="AP15" i="1" s="1"/>
  <c r="AQ15" i="1" s="1"/>
  <c r="AO11" i="1"/>
  <c r="AP11" i="1" s="1"/>
  <c r="AQ11" i="1" s="1"/>
  <c r="AO39" i="1"/>
  <c r="AP39" i="1" s="1"/>
  <c r="AQ39" i="1" s="1"/>
  <c r="AP5" i="1"/>
  <c r="AQ5" i="1" s="1"/>
  <c r="AF5" i="5"/>
  <c r="AI5" i="5"/>
  <c r="AI25" i="5"/>
  <c r="AF25" i="5"/>
  <c r="AD25" i="5"/>
  <c r="AG25" i="5"/>
  <c r="AG5" i="5"/>
  <c r="AD5" i="5"/>
  <c r="AE5" i="5"/>
  <c r="AH5" i="5"/>
  <c r="AE25" i="5"/>
  <c r="AH25" i="5"/>
  <c r="AF5" i="1"/>
  <c r="AI5" i="1"/>
  <c r="AI25" i="1"/>
  <c r="AF25" i="1"/>
  <c r="AH25" i="1"/>
  <c r="AE25" i="1"/>
  <c r="AJ25" i="1"/>
  <c r="AG25" i="1"/>
  <c r="AG5" i="1"/>
  <c r="AJ5" i="1"/>
  <c r="AH5" i="1"/>
  <c r="AE5" i="1"/>
  <c r="AH44" i="2"/>
  <c r="AH31" i="2"/>
  <c r="AH22" i="2"/>
  <c r="AH39" i="2"/>
  <c r="AH36" i="2"/>
  <c r="AB34" i="2"/>
  <c r="Z23" i="2"/>
  <c r="AB31" i="2"/>
  <c r="W23" i="2"/>
  <c r="Y23" i="2"/>
  <c r="AE51" i="2"/>
  <c r="AB44" i="2"/>
  <c r="X51" i="2"/>
  <c r="Y51" i="2"/>
  <c r="W51" i="2"/>
  <c r="Z51" i="2"/>
  <c r="AE8" i="2"/>
  <c r="AC23" i="2"/>
  <c r="AB26" i="2"/>
  <c r="AD7" i="2"/>
  <c r="AC51" i="2"/>
  <c r="AD51" i="2"/>
  <c r="X23" i="2"/>
  <c r="AB8" i="2"/>
  <c r="AU8" i="9" l="1"/>
  <c r="BA5" i="8"/>
  <c r="BB5" i="6"/>
  <c r="BA25" i="6"/>
  <c r="BB25" i="8"/>
  <c r="CE5" i="10"/>
  <c r="BU25" i="10"/>
  <c r="BA5" i="6"/>
  <c r="BA25" i="9"/>
  <c r="CC5" i="10"/>
  <c r="AV25" i="6"/>
  <c r="CE25" i="10"/>
  <c r="AM42" i="13"/>
  <c r="BB25" i="6"/>
  <c r="AU25" i="18"/>
  <c r="CB25" i="10"/>
  <c r="CB5" i="10"/>
  <c r="CC25" i="10"/>
  <c r="BW5" i="18"/>
  <c r="BX5" i="18"/>
  <c r="BI5" i="18"/>
  <c r="DV5" i="18" s="1"/>
  <c r="BV5" i="18"/>
  <c r="BK5" i="18"/>
  <c r="DX5" i="18" s="1"/>
  <c r="BJ5" i="18"/>
  <c r="DW5" i="18" s="1"/>
  <c r="AT28" i="18"/>
  <c r="AV25" i="18" s="1"/>
  <c r="AV5" i="16"/>
  <c r="BI5" i="16" s="1"/>
  <c r="DV5" i="16" s="1"/>
  <c r="AV25" i="16"/>
  <c r="BC25" i="1"/>
  <c r="AW25" i="8"/>
  <c r="AA23" i="13"/>
  <c r="BA25" i="8"/>
  <c r="BB5" i="9"/>
  <c r="AZ47" i="9"/>
  <c r="BB25" i="9" s="1"/>
  <c r="BO25" i="9" s="1"/>
  <c r="AN37" i="2"/>
  <c r="AP38" i="9"/>
  <c r="AR25" i="9" s="1"/>
  <c r="BA25" i="5"/>
  <c r="AU29" i="6"/>
  <c r="AW25" i="6" s="1"/>
  <c r="AW25" i="9"/>
  <c r="BX25" i="9" s="1"/>
  <c r="AS25" i="1"/>
  <c r="AX25" i="1"/>
  <c r="AR25" i="1"/>
  <c r="AW25" i="1"/>
  <c r="AW5" i="1"/>
  <c r="AM33" i="13"/>
  <c r="AJ25" i="13"/>
  <c r="AJ51" i="13" s="1"/>
  <c r="AT24" i="13" s="1"/>
  <c r="AM19" i="13"/>
  <c r="AM15" i="13"/>
  <c r="AH30" i="13"/>
  <c r="AM30" i="13" s="1"/>
  <c r="AM29" i="13"/>
  <c r="AP29" i="13"/>
  <c r="AO29" i="13"/>
  <c r="AN29" i="13"/>
  <c r="AO25" i="13"/>
  <c r="AI13" i="13"/>
  <c r="AN13" i="13" s="1"/>
  <c r="AB51" i="13"/>
  <c r="AI25" i="13"/>
  <c r="AI51" i="13" s="1"/>
  <c r="AS24" i="13" s="1"/>
  <c r="AN19" i="13"/>
  <c r="AO19" i="13"/>
  <c r="AP19" i="13"/>
  <c r="AN17" i="13"/>
  <c r="AP17" i="13"/>
  <c r="AO17" i="13"/>
  <c r="AN30" i="13"/>
  <c r="AP30" i="13"/>
  <c r="AO30" i="13"/>
  <c r="AH25" i="13"/>
  <c r="AH6" i="13"/>
  <c r="AA51" i="13"/>
  <c r="AH32" i="13"/>
  <c r="AM32" i="13" s="1"/>
  <c r="AH9" i="13"/>
  <c r="AM9" i="13" s="1"/>
  <c r="AH21" i="13"/>
  <c r="AM21" i="13" s="1"/>
  <c r="AH17" i="13"/>
  <c r="AM17" i="13" s="1"/>
  <c r="AB23" i="13"/>
  <c r="AO15" i="13"/>
  <c r="AP15" i="13"/>
  <c r="AN15" i="13"/>
  <c r="AC23" i="13"/>
  <c r="AJ23" i="13"/>
  <c r="AT5" i="13" s="1"/>
  <c r="AH13" i="13"/>
  <c r="AM13" i="13" s="1"/>
  <c r="AK25" i="13"/>
  <c r="AM5" i="13"/>
  <c r="AK5" i="13"/>
  <c r="AK23" i="13" s="1"/>
  <c r="AU5" i="13" s="1"/>
  <c r="AD23" i="13"/>
  <c r="AZ25" i="5"/>
  <c r="BB25" i="5" s="1"/>
  <c r="BA5" i="5"/>
  <c r="BB25" i="1"/>
  <c r="BB5" i="1"/>
  <c r="BA5" i="1"/>
  <c r="BC5" i="1" s="1"/>
  <c r="AK7" i="2"/>
  <c r="AP7" i="2" s="1"/>
  <c r="AH34" i="2"/>
  <c r="AK34" i="2"/>
  <c r="AJ34" i="2"/>
  <c r="AL34" i="2"/>
  <c r="AI26" i="2"/>
  <c r="AI44" i="2"/>
  <c r="AN44" i="2" s="1"/>
  <c r="AI34" i="2"/>
  <c r="AO36" i="2"/>
  <c r="AQ36" i="2"/>
  <c r="AP36" i="2"/>
  <c r="AN36" i="2"/>
  <c r="AQ39" i="2"/>
  <c r="AP39" i="2"/>
  <c r="AO39" i="2"/>
  <c r="AN39" i="2"/>
  <c r="AQ29" i="2"/>
  <c r="AP29" i="2"/>
  <c r="AO29" i="2"/>
  <c r="AN29" i="2"/>
  <c r="AH26" i="2"/>
  <c r="AK26" i="2"/>
  <c r="AJ26" i="2"/>
  <c r="AL26" i="2"/>
  <c r="AQ31" i="2"/>
  <c r="AP31" i="2"/>
  <c r="AO31" i="2"/>
  <c r="AI31" i="2"/>
  <c r="AN31" i="2" s="1"/>
  <c r="AQ44" i="2"/>
  <c r="AP44" i="2"/>
  <c r="AO44" i="2"/>
  <c r="AP32" i="2"/>
  <c r="AQ32" i="2"/>
  <c r="AO32" i="2"/>
  <c r="AN32" i="2"/>
  <c r="AQ37" i="2"/>
  <c r="AP37" i="2"/>
  <c r="AO37" i="2"/>
  <c r="AQ47" i="2"/>
  <c r="AP47" i="2"/>
  <c r="AO47" i="2"/>
  <c r="AN47" i="2"/>
  <c r="AO19" i="2"/>
  <c r="AQ19" i="2"/>
  <c r="AP19" i="2"/>
  <c r="AN19" i="2"/>
  <c r="AO11" i="2"/>
  <c r="AQ11" i="2"/>
  <c r="AP11" i="2"/>
  <c r="AN11" i="2"/>
  <c r="AQ20" i="2"/>
  <c r="AP20" i="2"/>
  <c r="AO20" i="2"/>
  <c r="AI8" i="2"/>
  <c r="AI23" i="2" s="1"/>
  <c r="AS5" i="2" s="1"/>
  <c r="AH8" i="2"/>
  <c r="AJ8" i="2"/>
  <c r="AJ23" i="2" s="1"/>
  <c r="AT5" i="2" s="1"/>
  <c r="AL8" i="2"/>
  <c r="AL23" i="2" s="1"/>
  <c r="AV5" i="2" s="1"/>
  <c r="AK8" i="2"/>
  <c r="AP22" i="2"/>
  <c r="AO22" i="2"/>
  <c r="AQ22" i="2"/>
  <c r="AN22" i="2"/>
  <c r="AP14" i="2"/>
  <c r="AQ14" i="2"/>
  <c r="AO14" i="2"/>
  <c r="AN14" i="2"/>
  <c r="AN20" i="2"/>
  <c r="BV5" i="10"/>
  <c r="CD25" i="10"/>
  <c r="BS25" i="10"/>
  <c r="BU5" i="10"/>
  <c r="BO5" i="10"/>
  <c r="BT5" i="10" s="1"/>
  <c r="BS5" i="10"/>
  <c r="BJ25" i="10"/>
  <c r="CM25" i="10" s="1"/>
  <c r="BJ5" i="10"/>
  <c r="BK25" i="10"/>
  <c r="BH25" i="10"/>
  <c r="BL25" i="10" s="1"/>
  <c r="BK5" i="10"/>
  <c r="BH5" i="10"/>
  <c r="BL5" i="10" s="1"/>
  <c r="BV25" i="10"/>
  <c r="BT25" i="10"/>
  <c r="CU25" i="10" s="1"/>
  <c r="HE25" i="10" s="1"/>
  <c r="CD5" i="10"/>
  <c r="DU5" i="10" s="1"/>
  <c r="AW5" i="9"/>
  <c r="AR5" i="9"/>
  <c r="BV5" i="9" s="1"/>
  <c r="AQ25" i="8"/>
  <c r="AV5" i="8"/>
  <c r="AV25" i="8"/>
  <c r="AQ5" i="8"/>
  <c r="AQ25" i="6"/>
  <c r="AQ5" i="6"/>
  <c r="AP5" i="6"/>
  <c r="AV25" i="5"/>
  <c r="AQ25" i="5"/>
  <c r="AU25" i="5"/>
  <c r="AW25" i="5" s="1"/>
  <c r="AV5" i="5"/>
  <c r="AP26" i="5"/>
  <c r="AR25" i="5" s="1"/>
  <c r="AQ5" i="5"/>
  <c r="AV12" i="1"/>
  <c r="AX5" i="1" s="1"/>
  <c r="BK5" i="1" s="1"/>
  <c r="AR5" i="1"/>
  <c r="CF25" i="10"/>
  <c r="CF5" i="10"/>
  <c r="BK25" i="9"/>
  <c r="DX25" i="9" s="1"/>
  <c r="BW25" i="9"/>
  <c r="BJ25" i="9"/>
  <c r="DW25" i="9" s="1"/>
  <c r="AR25" i="8"/>
  <c r="BH25" i="8" s="1"/>
  <c r="AR5" i="8"/>
  <c r="BH5" i="8" s="1"/>
  <c r="CB25" i="8"/>
  <c r="BB5" i="8"/>
  <c r="BN5" i="8" s="1"/>
  <c r="BY25" i="8"/>
  <c r="AW5" i="8"/>
  <c r="BK5" i="8" s="1"/>
  <c r="AR5" i="5"/>
  <c r="BB5" i="5"/>
  <c r="AW5" i="5"/>
  <c r="AR25" i="6"/>
  <c r="AR5" i="6"/>
  <c r="AW5" i="6"/>
  <c r="AS5" i="1"/>
  <c r="AE23" i="2"/>
  <c r="AD23" i="2"/>
  <c r="AB51" i="2"/>
  <c r="AB23" i="2"/>
  <c r="BV5" i="16" l="1"/>
  <c r="BK5" i="16"/>
  <c r="DX5" i="16" s="1"/>
  <c r="CK5" i="18"/>
  <c r="CL5" i="18"/>
  <c r="BW25" i="18"/>
  <c r="BV25" i="18"/>
  <c r="BK25" i="18"/>
  <c r="DX25" i="18" s="1"/>
  <c r="BJ25" i="18"/>
  <c r="DW25" i="18" s="1"/>
  <c r="BX25" i="18"/>
  <c r="BI25" i="18"/>
  <c r="DV25" i="18" s="1"/>
  <c r="CO5" i="18"/>
  <c r="CP5" i="18"/>
  <c r="CM5" i="18"/>
  <c r="CN5" i="18"/>
  <c r="BX5" i="16"/>
  <c r="CP5" i="16" s="1"/>
  <c r="BW5" i="16"/>
  <c r="CN5" i="16" s="1"/>
  <c r="BJ5" i="16"/>
  <c r="DW5" i="16" s="1"/>
  <c r="BW25" i="16"/>
  <c r="BJ25" i="16"/>
  <c r="DW25" i="16" s="1"/>
  <c r="BV25" i="16"/>
  <c r="BI25" i="16"/>
  <c r="DV25" i="16" s="1"/>
  <c r="BX25" i="16"/>
  <c r="BK25" i="16"/>
  <c r="DX25" i="16" s="1"/>
  <c r="CL5" i="16"/>
  <c r="CK5" i="16"/>
  <c r="DX5" i="8"/>
  <c r="AN23" i="13"/>
  <c r="AH23" i="13"/>
  <c r="AR5" i="13" s="1"/>
  <c r="AN34" i="2"/>
  <c r="AI23" i="13"/>
  <c r="AS5" i="13" s="1"/>
  <c r="AM6" i="13"/>
  <c r="AM23" i="13" s="1"/>
  <c r="AO51" i="13"/>
  <c r="AO5" i="13"/>
  <c r="AO23" i="13" s="1"/>
  <c r="AP5" i="13"/>
  <c r="AP23" i="13" s="1"/>
  <c r="AN25" i="13"/>
  <c r="AN51" i="13" s="1"/>
  <c r="AK51" i="13"/>
  <c r="AU24" i="13" s="1"/>
  <c r="AP25" i="13"/>
  <c r="AP51" i="13" s="1"/>
  <c r="AH51" i="13"/>
  <c r="AR24" i="13" s="1"/>
  <c r="AM25" i="13"/>
  <c r="AM51" i="13" s="1"/>
  <c r="AO26" i="2"/>
  <c r="AQ26" i="2"/>
  <c r="AP26" i="2"/>
  <c r="AN26" i="2"/>
  <c r="AO34" i="2"/>
  <c r="AP34" i="2"/>
  <c r="AQ34" i="2"/>
  <c r="AP8" i="2"/>
  <c r="AP23" i="2" s="1"/>
  <c r="AO8" i="2"/>
  <c r="AO23" i="2" s="1"/>
  <c r="AQ8" i="2"/>
  <c r="AQ23" i="2" s="1"/>
  <c r="AN8" i="2"/>
  <c r="AN23" i="2" s="1"/>
  <c r="DT5" i="10"/>
  <c r="DS5" i="10"/>
  <c r="HA25" i="10"/>
  <c r="DA5" i="10"/>
  <c r="HH5" i="10" s="1"/>
  <c r="BL25" i="9"/>
  <c r="DY25" i="9" s="1"/>
  <c r="BN25" i="9"/>
  <c r="EA25" i="9" s="1"/>
  <c r="EB25" i="9"/>
  <c r="BY25" i="9"/>
  <c r="CP25" i="9" s="1"/>
  <c r="CA25" i="9"/>
  <c r="CT25" i="9" s="1"/>
  <c r="BZ25" i="9"/>
  <c r="CS25" i="9" s="1"/>
  <c r="CW5" i="10"/>
  <c r="HF5" i="10" s="1"/>
  <c r="CY5" i="10"/>
  <c r="HG5" i="10" s="1"/>
  <c r="DO25" i="10"/>
  <c r="ER25" i="10" s="1"/>
  <c r="CQ25" i="10"/>
  <c r="HC25" i="10" s="1"/>
  <c r="DN25" i="10"/>
  <c r="EP25" i="10" s="1"/>
  <c r="DM25" i="10"/>
  <c r="EO25" i="10" s="1"/>
  <c r="CS25" i="10"/>
  <c r="HD25" i="10" s="1"/>
  <c r="DG25" i="10"/>
  <c r="EB25" i="10" s="1"/>
  <c r="CK25" i="10"/>
  <c r="GZ25" i="10" s="1"/>
  <c r="DI25" i="10"/>
  <c r="EF25" i="10" s="1"/>
  <c r="DH25" i="10"/>
  <c r="EE25" i="10" s="1"/>
  <c r="CO25" i="10"/>
  <c r="CT5" i="10"/>
  <c r="HM5" i="10" s="1"/>
  <c r="DQ5" i="10"/>
  <c r="CR5" i="10"/>
  <c r="HL5" i="10" s="1"/>
  <c r="DP5" i="10"/>
  <c r="CV5" i="10"/>
  <c r="HN5" i="10" s="1"/>
  <c r="DR5" i="10"/>
  <c r="DI5" i="10"/>
  <c r="DH5" i="10"/>
  <c r="CK5" i="10"/>
  <c r="GZ5" i="10" s="1"/>
  <c r="CM5" i="10"/>
  <c r="HA5" i="10" s="1"/>
  <c r="DG5" i="10"/>
  <c r="CO5" i="10"/>
  <c r="EZ5" i="10"/>
  <c r="FA5" i="10"/>
  <c r="DR25" i="10"/>
  <c r="DP25" i="10"/>
  <c r="DQ25" i="10"/>
  <c r="CT25" i="10"/>
  <c r="HM25" i="10" s="1"/>
  <c r="CV25" i="10"/>
  <c r="HN25" i="10" s="1"/>
  <c r="CR25" i="10"/>
  <c r="HL25" i="10" s="1"/>
  <c r="DK5" i="10"/>
  <c r="CL5" i="10"/>
  <c r="HI5" i="10" s="1"/>
  <c r="DL5" i="10"/>
  <c r="DJ5" i="10"/>
  <c r="CP5" i="10"/>
  <c r="HK5" i="10" s="1"/>
  <c r="CN5" i="10"/>
  <c r="HJ5" i="10" s="1"/>
  <c r="DX25" i="10"/>
  <c r="CX25" i="10"/>
  <c r="HO25" i="10" s="1"/>
  <c r="DW25" i="10"/>
  <c r="DB25" i="10"/>
  <c r="HQ25" i="10" s="1"/>
  <c r="DV25" i="10"/>
  <c r="CZ25" i="10"/>
  <c r="HP25" i="10" s="1"/>
  <c r="DJ25" i="10"/>
  <c r="DK25" i="10"/>
  <c r="CP25" i="10"/>
  <c r="HK25" i="10" s="1"/>
  <c r="CL25" i="10"/>
  <c r="HI25" i="10" s="1"/>
  <c r="DL25" i="10"/>
  <c r="CN25" i="10"/>
  <c r="CQ5" i="10"/>
  <c r="HC5" i="10" s="1"/>
  <c r="CU5" i="10"/>
  <c r="HE5" i="10" s="1"/>
  <c r="CS5" i="10"/>
  <c r="HD5" i="10" s="1"/>
  <c r="DM5" i="10"/>
  <c r="DO5" i="10"/>
  <c r="DN5" i="10"/>
  <c r="DA25" i="10"/>
  <c r="HH25" i="10" s="1"/>
  <c r="CY25" i="10"/>
  <c r="HG25" i="10" s="1"/>
  <c r="DU25" i="10"/>
  <c r="DT25" i="10"/>
  <c r="DS25" i="10"/>
  <c r="CW25" i="10"/>
  <c r="HF25" i="10" s="1"/>
  <c r="DB5" i="10"/>
  <c r="HQ5" i="10" s="1"/>
  <c r="CZ5" i="10"/>
  <c r="HP5" i="10" s="1"/>
  <c r="DX5" i="10"/>
  <c r="DW5" i="10"/>
  <c r="DV5" i="10"/>
  <c r="CX5" i="10"/>
  <c r="HO5" i="10" s="1"/>
  <c r="FC5" i="10"/>
  <c r="FB5" i="10"/>
  <c r="FE5" i="10"/>
  <c r="FD5" i="10"/>
  <c r="BI5" i="9"/>
  <c r="DV5" i="9" s="1"/>
  <c r="BU5" i="9"/>
  <c r="CH5" i="9" s="1"/>
  <c r="BG5" i="9"/>
  <c r="DT5" i="9" s="1"/>
  <c r="BH5" i="9"/>
  <c r="DU5" i="9" s="1"/>
  <c r="BT5" i="9"/>
  <c r="CG5" i="9" s="1"/>
  <c r="BM25" i="9"/>
  <c r="DZ25" i="9" s="1"/>
  <c r="CB25" i="9"/>
  <c r="CV25" i="9" s="1"/>
  <c r="CK5" i="9"/>
  <c r="CJ5" i="9"/>
  <c r="BY5" i="9"/>
  <c r="BX5" i="9"/>
  <c r="BW5" i="9"/>
  <c r="BL5" i="9"/>
  <c r="DY5" i="9" s="1"/>
  <c r="BK5" i="9"/>
  <c r="DX5" i="9" s="1"/>
  <c r="BJ5" i="9"/>
  <c r="DW5" i="9" s="1"/>
  <c r="BT25" i="9"/>
  <c r="BI25" i="9"/>
  <c r="DV25" i="9" s="1"/>
  <c r="BH25" i="9"/>
  <c r="DU25" i="9" s="1"/>
  <c r="BV25" i="9"/>
  <c r="BU25" i="9"/>
  <c r="BG25" i="9"/>
  <c r="DT25" i="9" s="1"/>
  <c r="CM25" i="9"/>
  <c r="CL25" i="9"/>
  <c r="BZ5" i="9"/>
  <c r="BO5" i="9"/>
  <c r="EB5" i="9" s="1"/>
  <c r="BM5" i="9"/>
  <c r="DZ5" i="9" s="1"/>
  <c r="BN5" i="9"/>
  <c r="EA5" i="9" s="1"/>
  <c r="CA5" i="9"/>
  <c r="CB5" i="9"/>
  <c r="CO25" i="9"/>
  <c r="CN25" i="9"/>
  <c r="BL25" i="8"/>
  <c r="DY25" i="8" s="1"/>
  <c r="EA5" i="8"/>
  <c r="BI25" i="8"/>
  <c r="DV25" i="8" s="1"/>
  <c r="BI5" i="8"/>
  <c r="DV5" i="8" s="1"/>
  <c r="BT5" i="8"/>
  <c r="CG5" i="8" s="1"/>
  <c r="BU5" i="8"/>
  <c r="CI5" i="8" s="1"/>
  <c r="CA5" i="8"/>
  <c r="CT5" i="8" s="1"/>
  <c r="BV25" i="8"/>
  <c r="CK25" i="8" s="1"/>
  <c r="BT25" i="8"/>
  <c r="CF25" i="8" s="1"/>
  <c r="BU25" i="8"/>
  <c r="CI25" i="8" s="1"/>
  <c r="BG25" i="8"/>
  <c r="DT25" i="8" s="1"/>
  <c r="BV5" i="8"/>
  <c r="CK5" i="8" s="1"/>
  <c r="BG5" i="8"/>
  <c r="DT5" i="8" s="1"/>
  <c r="DU5" i="8"/>
  <c r="BZ25" i="8"/>
  <c r="CS25" i="8" s="1"/>
  <c r="BO25" i="8"/>
  <c r="EB25" i="8" s="1"/>
  <c r="BM25" i="8"/>
  <c r="DZ25" i="8" s="1"/>
  <c r="CA25" i="8"/>
  <c r="CU25" i="8" s="1"/>
  <c r="BN25" i="8"/>
  <c r="EA25" i="8" s="1"/>
  <c r="BZ5" i="8"/>
  <c r="CS5" i="8" s="1"/>
  <c r="CB5" i="8"/>
  <c r="CW5" i="8" s="1"/>
  <c r="BM5" i="8"/>
  <c r="DZ5" i="8" s="1"/>
  <c r="BO5" i="8"/>
  <c r="EB5" i="8" s="1"/>
  <c r="BL5" i="8"/>
  <c r="DY5" i="8" s="1"/>
  <c r="BX5" i="8"/>
  <c r="CO5" i="8" s="1"/>
  <c r="BJ25" i="8"/>
  <c r="DW25" i="8" s="1"/>
  <c r="DU25" i="8"/>
  <c r="BK25" i="8"/>
  <c r="DX25" i="8" s="1"/>
  <c r="BW25" i="8"/>
  <c r="CL25" i="8" s="1"/>
  <c r="BX25" i="8"/>
  <c r="CO25" i="8" s="1"/>
  <c r="BJ5" i="8"/>
  <c r="DW5" i="8" s="1"/>
  <c r="BY5" i="8"/>
  <c r="CQ5" i="8" s="1"/>
  <c r="BW5" i="8"/>
  <c r="CL5" i="8" s="1"/>
  <c r="CQ25" i="8"/>
  <c r="CP25" i="8"/>
  <c r="CV25" i="8"/>
  <c r="CW25" i="8"/>
  <c r="AK23" i="2"/>
  <c r="AU5" i="2" s="1"/>
  <c r="AK51" i="2"/>
  <c r="AU24" i="2" s="1"/>
  <c r="BY5" i="6"/>
  <c r="BX5" i="6"/>
  <c r="BW5" i="6"/>
  <c r="BU5" i="6"/>
  <c r="BV5" i="6"/>
  <c r="BT5" i="6"/>
  <c r="CA25" i="6"/>
  <c r="BZ25" i="6"/>
  <c r="CB25" i="6"/>
  <c r="BU25" i="6"/>
  <c r="BT25" i="6"/>
  <c r="BV25" i="6"/>
  <c r="BY25" i="6"/>
  <c r="BX25" i="6"/>
  <c r="BW25" i="6"/>
  <c r="CB5" i="6"/>
  <c r="BZ5" i="6"/>
  <c r="CA5" i="6"/>
  <c r="BZ25" i="5"/>
  <c r="CB25" i="5"/>
  <c r="CA25" i="5"/>
  <c r="BN5" i="5"/>
  <c r="BM5" i="5"/>
  <c r="BZ5" i="5"/>
  <c r="CB5" i="5"/>
  <c r="CA5" i="5"/>
  <c r="BH5" i="5"/>
  <c r="BU5" i="5"/>
  <c r="BG5" i="5"/>
  <c r="BV5" i="5"/>
  <c r="BT5" i="5"/>
  <c r="BK25" i="5"/>
  <c r="BY25" i="5"/>
  <c r="BX25" i="5"/>
  <c r="BW25" i="5"/>
  <c r="BH25" i="5"/>
  <c r="BV25" i="5"/>
  <c r="BU25" i="5"/>
  <c r="BT25" i="5"/>
  <c r="BK5" i="5"/>
  <c r="BY5" i="5"/>
  <c r="BJ5" i="5"/>
  <c r="BX5" i="5"/>
  <c r="BW5" i="5"/>
  <c r="BL5" i="1"/>
  <c r="BZ5" i="1"/>
  <c r="BY5" i="1"/>
  <c r="BX5" i="1"/>
  <c r="BP25" i="1"/>
  <c r="CC25" i="1"/>
  <c r="CB25" i="1"/>
  <c r="CA25" i="1"/>
  <c r="BI25" i="1"/>
  <c r="BU25" i="1"/>
  <c r="BW25" i="1"/>
  <c r="BV25" i="1"/>
  <c r="BJ5" i="1"/>
  <c r="BH5" i="1"/>
  <c r="BW5" i="1"/>
  <c r="BU5" i="1"/>
  <c r="BV5" i="1"/>
  <c r="BI5" i="1"/>
  <c r="BN5" i="1"/>
  <c r="CC5" i="1"/>
  <c r="CB5" i="1"/>
  <c r="CA5" i="1"/>
  <c r="BK25" i="1"/>
  <c r="BZ25" i="1"/>
  <c r="BY25" i="1"/>
  <c r="BX25" i="1"/>
  <c r="BL5" i="5"/>
  <c r="BL25" i="5"/>
  <c r="BI5" i="5"/>
  <c r="BI25" i="5"/>
  <c r="BO5" i="5"/>
  <c r="BG25" i="5"/>
  <c r="BJ25" i="5"/>
  <c r="BL25" i="1"/>
  <c r="BM25" i="1"/>
  <c r="BJ25" i="1"/>
  <c r="BM5" i="1"/>
  <c r="BO25" i="1"/>
  <c r="BO5" i="1"/>
  <c r="BP5" i="1"/>
  <c r="BH25" i="1"/>
  <c r="BN25" i="1"/>
  <c r="BL25" i="6"/>
  <c r="BK25" i="6"/>
  <c r="BJ25" i="6"/>
  <c r="BN25" i="6"/>
  <c r="BO25" i="6"/>
  <c r="BM25" i="6"/>
  <c r="BO5" i="6"/>
  <c r="BM5" i="6"/>
  <c r="BN5" i="6"/>
  <c r="BL5" i="6"/>
  <c r="BK5" i="6"/>
  <c r="BJ5" i="6"/>
  <c r="BH25" i="6"/>
  <c r="BI25" i="6"/>
  <c r="BG25" i="6"/>
  <c r="BH5" i="6"/>
  <c r="BG5" i="6"/>
  <c r="BI5" i="6"/>
  <c r="BN25" i="5"/>
  <c r="BM25" i="5"/>
  <c r="BO25" i="5"/>
  <c r="AJ51" i="2"/>
  <c r="AT24" i="2" s="1"/>
  <c r="AL51" i="2"/>
  <c r="AV24" i="2" s="1"/>
  <c r="AI51" i="2"/>
  <c r="AS24" i="2" s="1"/>
  <c r="AN51" i="2" l="1"/>
  <c r="CO5" i="16"/>
  <c r="CQ25" i="9"/>
  <c r="CK25" i="18"/>
  <c r="CL25" i="18"/>
  <c r="DD5" i="18"/>
  <c r="EP5" i="18" s="1"/>
  <c r="DM5" i="18"/>
  <c r="EG5" i="18" s="1"/>
  <c r="CO25" i="18"/>
  <c r="CP25" i="18"/>
  <c r="CN25" i="18"/>
  <c r="CM25" i="18"/>
  <c r="DN5" i="18"/>
  <c r="EH5" i="18" s="1"/>
  <c r="DE5" i="18"/>
  <c r="EQ5" i="18" s="1"/>
  <c r="DC5" i="18"/>
  <c r="EO5" i="18" s="1"/>
  <c r="DL5" i="18"/>
  <c r="EF5" i="18" s="1"/>
  <c r="CM5" i="16"/>
  <c r="DD5" i="16" s="1"/>
  <c r="EP5" i="16" s="1"/>
  <c r="CL25" i="16"/>
  <c r="CK25" i="16"/>
  <c r="DE5" i="16"/>
  <c r="EQ5" i="16" s="1"/>
  <c r="DN5" i="16"/>
  <c r="EH5" i="16" s="1"/>
  <c r="DL5" i="16"/>
  <c r="EF5" i="16" s="1"/>
  <c r="DC5" i="16"/>
  <c r="EO5" i="16" s="1"/>
  <c r="CP25" i="16"/>
  <c r="CO25" i="16"/>
  <c r="CN25" i="16"/>
  <c r="CM25" i="16"/>
  <c r="DM5" i="16"/>
  <c r="EG5" i="16" s="1"/>
  <c r="CF5" i="9"/>
  <c r="DJ5" i="9" s="1"/>
  <c r="ED5" i="9" s="1"/>
  <c r="AO51" i="2"/>
  <c r="CI5" i="9"/>
  <c r="AP51" i="2"/>
  <c r="AQ51" i="2"/>
  <c r="EQ25" i="10"/>
  <c r="CR25" i="9"/>
  <c r="DP25" i="9" s="1"/>
  <c r="EJ25" i="9" s="1"/>
  <c r="CU25" i="9"/>
  <c r="CR25" i="8"/>
  <c r="DG25" i="8" s="1"/>
  <c r="ES25" i="8" s="1"/>
  <c r="CJ25" i="8"/>
  <c r="DL25" i="8" s="1"/>
  <c r="EF25" i="8" s="1"/>
  <c r="ED25" i="10"/>
  <c r="FP25" i="10" s="1"/>
  <c r="IL25" i="10" s="1"/>
  <c r="EN25" i="10"/>
  <c r="GJ25" i="10" s="1"/>
  <c r="HV25" i="10" s="1"/>
  <c r="EG25" i="10"/>
  <c r="ES25" i="10"/>
  <c r="EC25" i="10"/>
  <c r="FJ5" i="10"/>
  <c r="FK5" i="10"/>
  <c r="EY25" i="10"/>
  <c r="EX25" i="10"/>
  <c r="EP5" i="10"/>
  <c r="EQ5" i="10"/>
  <c r="GG25" i="10"/>
  <c r="HS25" i="10" s="1"/>
  <c r="FO25" i="10"/>
  <c r="IK25" i="10" s="1"/>
  <c r="EX5" i="10"/>
  <c r="EY5" i="10"/>
  <c r="ER5" i="10"/>
  <c r="ES5" i="10"/>
  <c r="HB5" i="10"/>
  <c r="HJ25" i="10"/>
  <c r="HB25" i="10"/>
  <c r="EJ5" i="10"/>
  <c r="EK5" i="10"/>
  <c r="GM5" i="10"/>
  <c r="HY5" i="10" s="1"/>
  <c r="FU5" i="10"/>
  <c r="IQ5" i="10" s="1"/>
  <c r="FH5" i="10"/>
  <c r="FI5" i="10"/>
  <c r="EI25" i="10"/>
  <c r="EH25" i="10"/>
  <c r="EH5" i="10"/>
  <c r="EI5" i="10"/>
  <c r="EG5" i="10"/>
  <c r="EF5" i="10"/>
  <c r="GN5" i="10"/>
  <c r="HZ5" i="10" s="1"/>
  <c r="FV5" i="10"/>
  <c r="IR5" i="10" s="1"/>
  <c r="EO5" i="10"/>
  <c r="EN5" i="10"/>
  <c r="EL25" i="10"/>
  <c r="EM25" i="10"/>
  <c r="FG25" i="10"/>
  <c r="FF25" i="10"/>
  <c r="EU5" i="10"/>
  <c r="ET5" i="10"/>
  <c r="ET25" i="10"/>
  <c r="EU25" i="10"/>
  <c r="FW5" i="10"/>
  <c r="IS5" i="10" s="1"/>
  <c r="GO5" i="10"/>
  <c r="IA5" i="10" s="1"/>
  <c r="FQ25" i="10"/>
  <c r="GI25" i="10"/>
  <c r="EL5" i="10"/>
  <c r="EM5" i="10"/>
  <c r="EZ25" i="10"/>
  <c r="FA25" i="10"/>
  <c r="GL25" i="10"/>
  <c r="HX25" i="10" s="1"/>
  <c r="FT25" i="10"/>
  <c r="IP25" i="10" s="1"/>
  <c r="EB5" i="10"/>
  <c r="EC5" i="10"/>
  <c r="FK25" i="10"/>
  <c r="FJ25" i="10"/>
  <c r="EE5" i="10"/>
  <c r="ED5" i="10"/>
  <c r="FC25" i="10"/>
  <c r="FB25" i="10"/>
  <c r="FS25" i="10"/>
  <c r="IO25" i="10" s="1"/>
  <c r="GK25" i="10"/>
  <c r="HW25" i="10" s="1"/>
  <c r="FH25" i="10"/>
  <c r="FI25" i="10"/>
  <c r="EW5" i="10"/>
  <c r="EV5" i="10"/>
  <c r="FF5" i="10"/>
  <c r="FG5" i="10"/>
  <c r="FE25" i="10"/>
  <c r="FD25" i="10"/>
  <c r="EK25" i="10"/>
  <c r="EJ25" i="10"/>
  <c r="EW25" i="10"/>
  <c r="EV25" i="10"/>
  <c r="CW25" i="9"/>
  <c r="CU5" i="9"/>
  <c r="CT5" i="9"/>
  <c r="CH25" i="9"/>
  <c r="CI25" i="9"/>
  <c r="CO5" i="9"/>
  <c r="CN5" i="9"/>
  <c r="DI25" i="9"/>
  <c r="EU25" i="9" s="1"/>
  <c r="DR25" i="9"/>
  <c r="EL25" i="9" s="1"/>
  <c r="CK25" i="9"/>
  <c r="CJ25" i="9"/>
  <c r="CQ5" i="9"/>
  <c r="CP5" i="9"/>
  <c r="DK5" i="9"/>
  <c r="EE5" i="9" s="1"/>
  <c r="DB5" i="9"/>
  <c r="EN5" i="9" s="1"/>
  <c r="DE25" i="9"/>
  <c r="EQ25" i="9" s="1"/>
  <c r="DN25" i="9"/>
  <c r="EH25" i="9" s="1"/>
  <c r="CS5" i="9"/>
  <c r="CR5" i="9"/>
  <c r="DA5" i="9"/>
  <c r="EM5" i="9" s="1"/>
  <c r="DH25" i="9"/>
  <c r="ET25" i="9" s="1"/>
  <c r="DQ25" i="9"/>
  <c r="EK25" i="9" s="1"/>
  <c r="CF25" i="9"/>
  <c r="CG25" i="9"/>
  <c r="DL5" i="9"/>
  <c r="EF5" i="9" s="1"/>
  <c r="DC5" i="9"/>
  <c r="EO5" i="9" s="1"/>
  <c r="DD25" i="9"/>
  <c r="EP25" i="9" s="1"/>
  <c r="DM25" i="9"/>
  <c r="EG25" i="9" s="1"/>
  <c r="CW5" i="9"/>
  <c r="CV5" i="9"/>
  <c r="DO25" i="9"/>
  <c r="EI25" i="9" s="1"/>
  <c r="DF25" i="9"/>
  <c r="ER25" i="9" s="1"/>
  <c r="CM5" i="9"/>
  <c r="CL5" i="9"/>
  <c r="CG25" i="8"/>
  <c r="CT25" i="8"/>
  <c r="DH25" i="8" s="1"/>
  <c r="ET25" i="8" s="1"/>
  <c r="CM5" i="8"/>
  <c r="CN5" i="8"/>
  <c r="DN5" i="8" s="1"/>
  <c r="EH5" i="8" s="1"/>
  <c r="CH5" i="8"/>
  <c r="DB5" i="8" s="1"/>
  <c r="EN5" i="8" s="1"/>
  <c r="CF5" i="8"/>
  <c r="DA5" i="8" s="1"/>
  <c r="EM5" i="8" s="1"/>
  <c r="CJ5" i="8"/>
  <c r="DL5" i="8" s="1"/>
  <c r="EF5" i="8" s="1"/>
  <c r="CU5" i="8"/>
  <c r="CR5" i="8"/>
  <c r="DG5" i="8" s="1"/>
  <c r="ES5" i="8" s="1"/>
  <c r="CV5" i="8"/>
  <c r="DI5" i="8" s="1"/>
  <c r="EU5" i="8" s="1"/>
  <c r="CH25" i="8"/>
  <c r="DK25" i="8" s="1"/>
  <c r="EE25" i="8" s="1"/>
  <c r="CM25" i="8"/>
  <c r="CN25" i="8"/>
  <c r="DE25" i="8" s="1"/>
  <c r="EQ25" i="8" s="1"/>
  <c r="CP5" i="8"/>
  <c r="DO5" i="8" s="1"/>
  <c r="EI5" i="8" s="1"/>
  <c r="DO25" i="8"/>
  <c r="EI25" i="8" s="1"/>
  <c r="DF25" i="8"/>
  <c r="ER25" i="8" s="1"/>
  <c r="DQ5" i="8"/>
  <c r="EK5" i="8" s="1"/>
  <c r="DH5" i="8"/>
  <c r="ET5" i="8" s="1"/>
  <c r="DM5" i="8"/>
  <c r="EG5" i="8" s="1"/>
  <c r="DD5" i="8"/>
  <c r="EP5" i="8" s="1"/>
  <c r="DP25" i="8"/>
  <c r="EJ25" i="8" s="1"/>
  <c r="DJ25" i="8"/>
  <c r="ED25" i="8" s="1"/>
  <c r="DA25" i="8"/>
  <c r="EM25" i="8" s="1"/>
  <c r="DM25" i="8"/>
  <c r="EG25" i="8" s="1"/>
  <c r="DD25" i="8"/>
  <c r="EP25" i="8" s="1"/>
  <c r="DR25" i="8"/>
  <c r="EL25" i="8" s="1"/>
  <c r="DI25" i="8"/>
  <c r="EU25" i="8" s="1"/>
  <c r="CV5" i="6"/>
  <c r="CW5" i="6"/>
  <c r="CS25" i="6"/>
  <c r="CR25" i="6"/>
  <c r="CU25" i="6"/>
  <c r="CT25" i="6"/>
  <c r="CG5" i="6"/>
  <c r="CF5" i="6"/>
  <c r="CK5" i="6"/>
  <c r="CJ5" i="6"/>
  <c r="CI5" i="6"/>
  <c r="CH5" i="6"/>
  <c r="CG25" i="6"/>
  <c r="CF25" i="6"/>
  <c r="CU5" i="6"/>
  <c r="CT5" i="6"/>
  <c r="CH25" i="6"/>
  <c r="CI25" i="6"/>
  <c r="CO5" i="6"/>
  <c r="CN5" i="6"/>
  <c r="CL25" i="6"/>
  <c r="CM25" i="6"/>
  <c r="CO25" i="6"/>
  <c r="CN25" i="6"/>
  <c r="CP25" i="6"/>
  <c r="CQ25" i="6"/>
  <c r="CK25" i="6"/>
  <c r="CJ25" i="6"/>
  <c r="CM5" i="6"/>
  <c r="CL5" i="6"/>
  <c r="CS5" i="6"/>
  <c r="CR5" i="6"/>
  <c r="CW25" i="6"/>
  <c r="CV25" i="6"/>
  <c r="CQ5" i="6"/>
  <c r="CP5" i="6"/>
  <c r="CI25" i="1"/>
  <c r="CJ25" i="1"/>
  <c r="CR5" i="1"/>
  <c r="CQ5" i="1"/>
  <c r="CV25" i="1"/>
  <c r="CU25" i="1"/>
  <c r="CX5" i="1"/>
  <c r="CW5" i="1"/>
  <c r="CL25" i="1"/>
  <c r="CK25" i="1"/>
  <c r="CO25" i="1"/>
  <c r="CP25" i="1"/>
  <c r="CT25" i="1"/>
  <c r="CS25" i="1"/>
  <c r="CS5" i="1"/>
  <c r="CT5" i="1"/>
  <c r="CW25" i="1"/>
  <c r="CX25" i="1"/>
  <c r="CM5" i="1"/>
  <c r="CN5" i="1"/>
  <c r="CP5" i="1"/>
  <c r="CO5" i="1"/>
  <c r="CN25" i="1"/>
  <c r="CM25" i="1"/>
  <c r="CG25" i="1"/>
  <c r="CH25" i="1"/>
  <c r="CR25" i="1"/>
  <c r="CQ25" i="1"/>
  <c r="CV5" i="1"/>
  <c r="CU5" i="1"/>
  <c r="CO5" i="5"/>
  <c r="CN5" i="5"/>
  <c r="CL25" i="5"/>
  <c r="CM25" i="5"/>
  <c r="CS25" i="5"/>
  <c r="CR25" i="5"/>
  <c r="CO25" i="5"/>
  <c r="CN25" i="5"/>
  <c r="CU5" i="5"/>
  <c r="CT5" i="5"/>
  <c r="CP5" i="5"/>
  <c r="CQ5" i="5"/>
  <c r="CQ25" i="5"/>
  <c r="CP25" i="5"/>
  <c r="CW5" i="5"/>
  <c r="CV5" i="5"/>
  <c r="CS5" i="5"/>
  <c r="CR5" i="5"/>
  <c r="CG25" i="5"/>
  <c r="CF25" i="5"/>
  <c r="CG5" i="5"/>
  <c r="CF5" i="5"/>
  <c r="CI25" i="5"/>
  <c r="CH25" i="5"/>
  <c r="CK5" i="5"/>
  <c r="CJ5" i="5"/>
  <c r="CK25" i="5"/>
  <c r="CJ25" i="5"/>
  <c r="CT25" i="5"/>
  <c r="CU25" i="5"/>
  <c r="CM5" i="5"/>
  <c r="CL5" i="5"/>
  <c r="CH5" i="5"/>
  <c r="CI5" i="5"/>
  <c r="CW25" i="5"/>
  <c r="CV25" i="5"/>
  <c r="CK5" i="1"/>
  <c r="CL5" i="1"/>
  <c r="CJ5" i="1"/>
  <c r="CI5" i="1"/>
  <c r="CH5" i="1"/>
  <c r="CG5" i="1"/>
  <c r="DB5" i="1" s="1"/>
  <c r="DD25" i="18" l="1"/>
  <c r="EP25" i="18" s="1"/>
  <c r="DM25" i="18"/>
  <c r="EG25" i="18" s="1"/>
  <c r="DN25" i="18"/>
  <c r="EH25" i="18" s="1"/>
  <c r="DE25" i="18"/>
  <c r="EQ25" i="18" s="1"/>
  <c r="DC25" i="18"/>
  <c r="EO25" i="18" s="1"/>
  <c r="DL25" i="18"/>
  <c r="EF25" i="18" s="1"/>
  <c r="DN25" i="16"/>
  <c r="EH25" i="16" s="1"/>
  <c r="DE25" i="16"/>
  <c r="EQ25" i="16" s="1"/>
  <c r="DM25" i="16"/>
  <c r="EG25" i="16" s="1"/>
  <c r="DD25" i="16"/>
  <c r="EP25" i="16" s="1"/>
  <c r="DL25" i="16"/>
  <c r="EF25" i="16" s="1"/>
  <c r="DC25" i="16"/>
  <c r="EO25" i="16" s="1"/>
  <c r="DC25" i="8"/>
  <c r="EO25" i="8" s="1"/>
  <c r="GH25" i="10"/>
  <c r="HT25" i="10" s="1"/>
  <c r="DG25" i="9"/>
  <c r="ES25" i="9" s="1"/>
  <c r="DQ25" i="8"/>
  <c r="EK25" i="8" s="1"/>
  <c r="DB25" i="8"/>
  <c r="EN25" i="8" s="1"/>
  <c r="DN5" i="6"/>
  <c r="EH5" i="6" s="1"/>
  <c r="DE5" i="6"/>
  <c r="EQ5" i="6" s="1"/>
  <c r="DR25" i="6"/>
  <c r="EL25" i="6" s="1"/>
  <c r="DI25" i="6"/>
  <c r="EU25" i="6" s="1"/>
  <c r="DO25" i="6"/>
  <c r="EI25" i="6" s="1"/>
  <c r="DF25" i="6"/>
  <c r="ER25" i="6" s="1"/>
  <c r="DJ5" i="6"/>
  <c r="ED5" i="6" s="1"/>
  <c r="DA5" i="6"/>
  <c r="EM5" i="6" s="1"/>
  <c r="DF5" i="6"/>
  <c r="ER5" i="6" s="1"/>
  <c r="DO5" i="6"/>
  <c r="EI5" i="6" s="1"/>
  <c r="DP25" i="6"/>
  <c r="EJ25" i="6" s="1"/>
  <c r="DG25" i="6"/>
  <c r="ES25" i="6" s="1"/>
  <c r="DR5" i="6"/>
  <c r="EL5" i="6" s="1"/>
  <c r="DI5" i="6"/>
  <c r="EU5" i="6" s="1"/>
  <c r="DQ5" i="6"/>
  <c r="EK5" i="6" s="1"/>
  <c r="DH5" i="6"/>
  <c r="ET5" i="6" s="1"/>
  <c r="DC25" i="6"/>
  <c r="EO25" i="6" s="1"/>
  <c r="DL25" i="6"/>
  <c r="EF25" i="6" s="1"/>
  <c r="DP5" i="6"/>
  <c r="EJ5" i="6" s="1"/>
  <c r="DG5" i="6"/>
  <c r="ES5" i="6" s="1"/>
  <c r="DD5" i="6"/>
  <c r="EP5" i="6" s="1"/>
  <c r="DM5" i="6"/>
  <c r="EG5" i="6" s="1"/>
  <c r="DJ25" i="6"/>
  <c r="ED25" i="6" s="1"/>
  <c r="DA25" i="6"/>
  <c r="EM25" i="6" s="1"/>
  <c r="DQ25" i="6"/>
  <c r="EK25" i="6" s="1"/>
  <c r="DH25" i="6"/>
  <c r="ET25" i="6" s="1"/>
  <c r="DK5" i="6"/>
  <c r="EE5" i="6" s="1"/>
  <c r="DB5" i="6"/>
  <c r="EN5" i="6" s="1"/>
  <c r="DL5" i="6"/>
  <c r="EF5" i="6" s="1"/>
  <c r="DC5" i="6"/>
  <c r="EO5" i="6" s="1"/>
  <c r="DK25" i="6"/>
  <c r="EE25" i="6" s="1"/>
  <c r="DB25" i="6"/>
  <c r="EN25" i="6" s="1"/>
  <c r="DN25" i="6"/>
  <c r="EH25" i="6" s="1"/>
  <c r="DE25" i="6"/>
  <c r="EQ25" i="6" s="1"/>
  <c r="DM25" i="6"/>
  <c r="EG25" i="6" s="1"/>
  <c r="DD25" i="6"/>
  <c r="EP25" i="6" s="1"/>
  <c r="DE25" i="1"/>
  <c r="EQ25" i="1" s="1"/>
  <c r="DN25" i="1"/>
  <c r="EH25" i="1" s="1"/>
  <c r="DJ5" i="1"/>
  <c r="EV5" i="1" s="1"/>
  <c r="DS5" i="1"/>
  <c r="EM5" i="1" s="1"/>
  <c r="DH5" i="1"/>
  <c r="ET5" i="1" s="1"/>
  <c r="DQ5" i="1"/>
  <c r="EK5" i="1" s="1"/>
  <c r="DC5" i="1"/>
  <c r="EO5" i="1" s="1"/>
  <c r="DL5" i="1"/>
  <c r="EF5" i="1" s="1"/>
  <c r="DI5" i="1"/>
  <c r="EU5" i="1" s="1"/>
  <c r="DR5" i="1"/>
  <c r="EL5" i="1" s="1"/>
  <c r="DF5" i="1"/>
  <c r="ER5" i="1" s="1"/>
  <c r="DO5" i="1"/>
  <c r="EI5" i="1" s="1"/>
  <c r="DH25" i="1"/>
  <c r="ET25" i="1" s="1"/>
  <c r="DQ25" i="1"/>
  <c r="EK25" i="1" s="1"/>
  <c r="DI25" i="1"/>
  <c r="EU25" i="1" s="1"/>
  <c r="DR25" i="1"/>
  <c r="EL25" i="1" s="1"/>
  <c r="EN5" i="1"/>
  <c r="DK5" i="1"/>
  <c r="EE5" i="1" s="1"/>
  <c r="DG25" i="1"/>
  <c r="ES25" i="1" s="1"/>
  <c r="DP25" i="1"/>
  <c r="EJ25" i="1" s="1"/>
  <c r="DE5" i="1"/>
  <c r="EQ5" i="1" s="1"/>
  <c r="DN5" i="1"/>
  <c r="EH5" i="1" s="1"/>
  <c r="DD25" i="1"/>
  <c r="EP25" i="1" s="1"/>
  <c r="DM25" i="1"/>
  <c r="EG25" i="1" s="1"/>
  <c r="DG5" i="1"/>
  <c r="ES5" i="1" s="1"/>
  <c r="DP5" i="1"/>
  <c r="EJ5" i="1" s="1"/>
  <c r="DD5" i="1"/>
  <c r="EP5" i="1" s="1"/>
  <c r="DM5" i="1"/>
  <c r="EG5" i="1" s="1"/>
  <c r="DF25" i="1"/>
  <c r="ER25" i="1" s="1"/>
  <c r="DO25" i="1"/>
  <c r="EI25" i="1" s="1"/>
  <c r="DB25" i="1"/>
  <c r="EN25" i="1" s="1"/>
  <c r="DK25" i="1"/>
  <c r="EE25" i="1" s="1"/>
  <c r="DJ25" i="1"/>
  <c r="EV25" i="1" s="1"/>
  <c r="DS25" i="1"/>
  <c r="EM25" i="1" s="1"/>
  <c r="DC25" i="1"/>
  <c r="EO25" i="1" s="1"/>
  <c r="DL25" i="1"/>
  <c r="EF25" i="1" s="1"/>
  <c r="FR25" i="10"/>
  <c r="IN25" i="10" s="1"/>
  <c r="GO25" i="10"/>
  <c r="IA25" i="10" s="1"/>
  <c r="FW25" i="10"/>
  <c r="IS25" i="10" s="1"/>
  <c r="FR5" i="10"/>
  <c r="IN5" i="10" s="1"/>
  <c r="GJ5" i="10"/>
  <c r="HV5" i="10" s="1"/>
  <c r="GX5" i="10"/>
  <c r="GF5" i="10"/>
  <c r="GM25" i="10"/>
  <c r="HY25" i="10" s="1"/>
  <c r="FU25" i="10"/>
  <c r="IQ25" i="10" s="1"/>
  <c r="FY5" i="10"/>
  <c r="GQ5" i="10"/>
  <c r="GT25" i="10"/>
  <c r="GB25" i="10"/>
  <c r="GV5" i="10"/>
  <c r="GD5" i="10"/>
  <c r="FZ5" i="10"/>
  <c r="GR5" i="10"/>
  <c r="GW25" i="10"/>
  <c r="GE25" i="10"/>
  <c r="GA5" i="10"/>
  <c r="GS5" i="10"/>
  <c r="FO5" i="10"/>
  <c r="IK5" i="10" s="1"/>
  <c r="GG5" i="10"/>
  <c r="HS5" i="10" s="1"/>
  <c r="HU25" i="10"/>
  <c r="GD25" i="10"/>
  <c r="GV25" i="10"/>
  <c r="GI5" i="10"/>
  <c r="HU5" i="10" s="1"/>
  <c r="FQ5" i="10"/>
  <c r="IM5" i="10" s="1"/>
  <c r="GK5" i="10"/>
  <c r="HW5" i="10" s="1"/>
  <c r="FS5" i="10"/>
  <c r="IO5" i="10" s="1"/>
  <c r="GX25" i="10"/>
  <c r="GF25" i="10"/>
  <c r="GA25" i="10"/>
  <c r="GS25" i="10"/>
  <c r="GP5" i="10"/>
  <c r="FX5" i="10"/>
  <c r="GP25" i="10"/>
  <c r="FX25" i="10"/>
  <c r="FY25" i="10"/>
  <c r="GQ25" i="10"/>
  <c r="FV25" i="10"/>
  <c r="IR25" i="10" s="1"/>
  <c r="GN25" i="10"/>
  <c r="HZ25" i="10" s="1"/>
  <c r="IM25" i="10"/>
  <c r="GE5" i="10"/>
  <c r="GW5" i="10"/>
  <c r="GU25" i="10"/>
  <c r="GC25" i="10"/>
  <c r="GU5" i="10"/>
  <c r="GC5" i="10"/>
  <c r="GT5" i="10"/>
  <c r="GB5" i="10"/>
  <c r="FT5" i="10"/>
  <c r="IP5" i="10" s="1"/>
  <c r="GL5" i="10"/>
  <c r="HX5" i="10" s="1"/>
  <c r="GH5" i="10"/>
  <c r="HT5" i="10" s="1"/>
  <c r="FP5" i="10"/>
  <c r="IL5" i="10" s="1"/>
  <c r="FZ25" i="10"/>
  <c r="GR25" i="10"/>
  <c r="DE5" i="9"/>
  <c r="EQ5" i="9" s="1"/>
  <c r="DN5" i="9"/>
  <c r="EH5" i="9" s="1"/>
  <c r="DF5" i="9"/>
  <c r="ER5" i="9" s="1"/>
  <c r="DO5" i="9"/>
  <c r="EI5" i="9" s="1"/>
  <c r="DK25" i="9"/>
  <c r="EE25" i="9" s="1"/>
  <c r="DB25" i="9"/>
  <c r="EN25" i="9" s="1"/>
  <c r="DI5" i="9"/>
  <c r="EU5" i="9" s="1"/>
  <c r="DR5" i="9"/>
  <c r="EL5" i="9" s="1"/>
  <c r="DM5" i="9"/>
  <c r="EG5" i="9" s="1"/>
  <c r="DD5" i="9"/>
  <c r="EP5" i="9" s="1"/>
  <c r="DP5" i="9"/>
  <c r="EJ5" i="9" s="1"/>
  <c r="DG5" i="9"/>
  <c r="ES5" i="9" s="1"/>
  <c r="DA25" i="9"/>
  <c r="EM25" i="9" s="1"/>
  <c r="DJ25" i="9"/>
  <c r="ED25" i="9" s="1"/>
  <c r="DC25" i="9"/>
  <c r="EO25" i="9" s="1"/>
  <c r="DL25" i="9"/>
  <c r="EF25" i="9" s="1"/>
  <c r="DQ5" i="9"/>
  <c r="EK5" i="9" s="1"/>
  <c r="DH5" i="9"/>
  <c r="ET5" i="9" s="1"/>
  <c r="DE5" i="8"/>
  <c r="EQ5" i="8" s="1"/>
  <c r="DJ5" i="8"/>
  <c r="ED5" i="8" s="1"/>
  <c r="DK5" i="8"/>
  <c r="EE5" i="8" s="1"/>
  <c r="DC5" i="8"/>
  <c r="EO5" i="8" s="1"/>
  <c r="DP5" i="8"/>
  <c r="EJ5" i="8" s="1"/>
  <c r="DR5" i="8"/>
  <c r="EL5" i="8" s="1"/>
  <c r="DN25" i="8"/>
  <c r="EH25" i="8" s="1"/>
  <c r="DF5" i="8"/>
  <c r="ER5" i="8" s="1"/>
  <c r="DP25" i="5"/>
  <c r="EJ25" i="5" s="1"/>
  <c r="DG25" i="5"/>
  <c r="ES25" i="5" s="1"/>
  <c r="DC25" i="5"/>
  <c r="EO25" i="5" s="1"/>
  <c r="DL25" i="5"/>
  <c r="EF25" i="5" s="1"/>
  <c r="DK5" i="5"/>
  <c r="EE5" i="5" s="1"/>
  <c r="DB5" i="5"/>
  <c r="EN5" i="5" s="1"/>
  <c r="DJ5" i="5"/>
  <c r="ED5" i="5" s="1"/>
  <c r="DA5" i="5"/>
  <c r="EM5" i="5" s="1"/>
  <c r="DR25" i="5"/>
  <c r="EL25" i="5" s="1"/>
  <c r="DI25" i="5"/>
  <c r="EU25" i="5" s="1"/>
  <c r="DF5" i="5"/>
  <c r="ER5" i="5" s="1"/>
  <c r="DO5" i="5"/>
  <c r="EI5" i="5" s="1"/>
  <c r="DL5" i="5"/>
  <c r="EF5" i="5" s="1"/>
  <c r="DC5" i="5"/>
  <c r="EO5" i="5" s="1"/>
  <c r="DE5" i="5"/>
  <c r="EQ5" i="5" s="1"/>
  <c r="DN5" i="5"/>
  <c r="EH5" i="5" s="1"/>
  <c r="DK25" i="5"/>
  <c r="EE25" i="5" s="1"/>
  <c r="DB25" i="5"/>
  <c r="EN25" i="5" s="1"/>
  <c r="DR5" i="5"/>
  <c r="EL5" i="5" s="1"/>
  <c r="DI5" i="5"/>
  <c r="EU5" i="5" s="1"/>
  <c r="DO25" i="5"/>
  <c r="EI25" i="5" s="1"/>
  <c r="DF25" i="5"/>
  <c r="ER25" i="5" s="1"/>
  <c r="DQ25" i="5"/>
  <c r="EK25" i="5" s="1"/>
  <c r="DH25" i="5"/>
  <c r="ET25" i="5" s="1"/>
  <c r="DJ25" i="5"/>
  <c r="ED25" i="5" s="1"/>
  <c r="DA25" i="5"/>
  <c r="EM25" i="5" s="1"/>
  <c r="DM25" i="5"/>
  <c r="EG25" i="5" s="1"/>
  <c r="DD25" i="5"/>
  <c r="EP25" i="5" s="1"/>
  <c r="DP5" i="5"/>
  <c r="EJ5" i="5" s="1"/>
  <c r="DG5" i="5"/>
  <c r="ES5" i="5" s="1"/>
  <c r="DQ5" i="5"/>
  <c r="EK5" i="5" s="1"/>
  <c r="DH5" i="5"/>
  <c r="ET5" i="5" s="1"/>
  <c r="DM5" i="5"/>
  <c r="EG5" i="5" s="1"/>
  <c r="DD5" i="5"/>
  <c r="EP5" i="5" s="1"/>
  <c r="DN25" i="5"/>
  <c r="EH25" i="5" s="1"/>
  <c r="DE25" i="5"/>
  <c r="EQ25" i="5" s="1"/>
  <c r="IE25" i="10" l="1"/>
  <c r="IW25" i="10"/>
  <c r="IU25" i="10"/>
  <c r="IC25" i="10"/>
  <c r="IJ25" i="10"/>
  <c r="JB25" i="10"/>
  <c r="IF5" i="10"/>
  <c r="IX5" i="10"/>
  <c r="JA25" i="10"/>
  <c r="II25" i="10"/>
  <c r="IY5" i="10"/>
  <c r="IG5" i="10"/>
  <c r="IG25" i="10"/>
  <c r="IY25" i="10"/>
  <c r="IH5" i="10"/>
  <c r="IZ5" i="10"/>
  <c r="JB5" i="10"/>
  <c r="IJ5" i="10"/>
  <c r="IV25" i="10"/>
  <c r="ID25" i="10"/>
  <c r="JA5" i="10"/>
  <c r="II5" i="10"/>
  <c r="IB25" i="10"/>
  <c r="IT25" i="10"/>
  <c r="IW5" i="10"/>
  <c r="IE5" i="10"/>
  <c r="IZ25" i="10"/>
  <c r="IH25" i="10"/>
  <c r="IV5" i="10"/>
  <c r="ID5" i="10"/>
  <c r="IF25" i="10"/>
  <c r="IX25" i="10"/>
  <c r="IT5" i="10"/>
  <c r="IB5" i="10"/>
  <c r="IC5" i="10"/>
  <c r="IU5" i="10"/>
</calcChain>
</file>

<file path=xl/sharedStrings.xml><?xml version="1.0" encoding="utf-8"?>
<sst xmlns="http://schemas.openxmlformats.org/spreadsheetml/2006/main" count="3555" uniqueCount="414">
  <si>
    <t>NAMES</t>
  </si>
  <si>
    <t>CSO catchment (km2)</t>
  </si>
  <si>
    <t>POP.DENSITY (/km2)</t>
  </si>
  <si>
    <t>Built Area (km2)</t>
  </si>
  <si>
    <t>Crossgates WTW</t>
  </si>
  <si>
    <t>Method used</t>
  </si>
  <si>
    <t>Inhabitants/km2 (rounded)</t>
  </si>
  <si>
    <t>152/km2</t>
  </si>
  <si>
    <t>Llanyre STW</t>
  </si>
  <si>
    <t>TOTAL LSOA POP.</t>
  </si>
  <si>
    <t>Llandrindod Wells Ithon Road</t>
  </si>
  <si>
    <t>Built Area</t>
  </si>
  <si>
    <t>Opposite Lodore</t>
  </si>
  <si>
    <t>798/km2</t>
  </si>
  <si>
    <t>704/km2</t>
  </si>
  <si>
    <t>211/km2</t>
  </si>
  <si>
    <t>CSO Area</t>
  </si>
  <si>
    <t>Ridgebourne</t>
  </si>
  <si>
    <t>1258/km2</t>
  </si>
  <si>
    <t>Howey Sewage Pumping</t>
  </si>
  <si>
    <t>Weun Chapel Park</t>
  </si>
  <si>
    <t>Rhayader fields St Brides</t>
  </si>
  <si>
    <t>(Built area being a proportion)</t>
  </si>
  <si>
    <t>Storm Tanks Rhayader</t>
  </si>
  <si>
    <t>Newbridge-on-wye</t>
  </si>
  <si>
    <t>596/km2</t>
  </si>
  <si>
    <t>673/km</t>
  </si>
  <si>
    <t>403/km2</t>
  </si>
  <si>
    <t>8/km2</t>
  </si>
  <si>
    <t>399/km2</t>
  </si>
  <si>
    <t>Pop Density</t>
  </si>
  <si>
    <t>Climery STW</t>
  </si>
  <si>
    <t>6/km2</t>
  </si>
  <si>
    <t>Llanelwedd Primary School</t>
  </si>
  <si>
    <t>737/km2</t>
  </si>
  <si>
    <t>Builth Wells STW</t>
  </si>
  <si>
    <t>100/km2</t>
  </si>
  <si>
    <t>The Strand</t>
  </si>
  <si>
    <t>819/km2</t>
  </si>
  <si>
    <t>North Road CSO</t>
  </si>
  <si>
    <t>716/km2</t>
  </si>
  <si>
    <t>Llanelwedd Scout Hut</t>
  </si>
  <si>
    <t>295/km2</t>
  </si>
  <si>
    <t>Beulah SPS</t>
  </si>
  <si>
    <t>7/km2</t>
  </si>
  <si>
    <t>Llangammarch Wells STW</t>
  </si>
  <si>
    <t>Upper Wye and Upper Taff CSO catchments and estimated populations served / km2 (2011 CENSUS DATA)</t>
  </si>
  <si>
    <t>Bedlinog Bowling Green</t>
  </si>
  <si>
    <t>Trelewis Rear</t>
  </si>
  <si>
    <t>Quakers Yard</t>
  </si>
  <si>
    <t>Greenfield</t>
  </si>
  <si>
    <t>3rd Trunk South</t>
  </si>
  <si>
    <t>Trunk 2A</t>
  </si>
  <si>
    <t>Troedyrhiw</t>
  </si>
  <si>
    <t>Troedyrhiw PS</t>
  </si>
  <si>
    <t>Troedyrhiw Yew</t>
  </si>
  <si>
    <t>Pont Rhun</t>
  </si>
  <si>
    <t>Merthyr Pentrebach</t>
  </si>
  <si>
    <t>Willow Gas</t>
  </si>
  <si>
    <t>College Car Park</t>
  </si>
  <si>
    <t>Jacksons Bridge</t>
  </si>
  <si>
    <t>Merthyr Bridge</t>
  </si>
  <si>
    <t>M'Tydfiltai</t>
  </si>
  <si>
    <t>Cefn Coed</t>
  </si>
  <si>
    <t>Trevithick</t>
  </si>
  <si>
    <t>Waterloo House</t>
  </si>
  <si>
    <t>Dowlais Market</t>
  </si>
  <si>
    <t>Bont</t>
  </si>
  <si>
    <t>Brewers Arms</t>
  </si>
  <si>
    <t>Dowlais Junction</t>
  </si>
  <si>
    <t>Merthyr Cwm</t>
  </si>
  <si>
    <t>Gellifaelog</t>
  </si>
  <si>
    <t>Goitre Lane</t>
  </si>
  <si>
    <t>Avenue</t>
  </si>
  <si>
    <t>Connect. pop.den. (inhabit/km2)</t>
  </si>
  <si>
    <t>Upper Wye</t>
  </si>
  <si>
    <t>INPUT (rounded)</t>
  </si>
  <si>
    <t>PRIMARY</t>
  </si>
  <si>
    <t>SECONDARY</t>
  </si>
  <si>
    <t>TERTIARY</t>
  </si>
  <si>
    <t>INPUT Primary</t>
  </si>
  <si>
    <t>INPUT Secondary</t>
  </si>
  <si>
    <t>INPUT Tertiary</t>
  </si>
  <si>
    <t>WWTP Removal Inefficiency Fraction  (0-1)</t>
  </si>
  <si>
    <t>Supplementary: WWTP Removal Efficiency percentage average based on literature (before working out fraction inefficiency)</t>
  </si>
  <si>
    <t>Cso Operation Time (hours per annum)</t>
  </si>
  <si>
    <t>Based on 2021 data via Rivers Trust</t>
  </si>
  <si>
    <t>N/A</t>
  </si>
  <si>
    <t>hours / (8760 yearly hours)</t>
  </si>
  <si>
    <t>CSO time fraction operating (0-1)</t>
  </si>
  <si>
    <t>CSO time fraction not operating (1-x)</t>
  </si>
  <si>
    <t>Annual CSO Mass MF discharge total per catchment</t>
  </si>
  <si>
    <t>Annual CSO Mass MF to wwtp per catchment</t>
  </si>
  <si>
    <t xml:space="preserve"> </t>
  </si>
  <si>
    <t>Mass MF (g/km2 basin/y) Mean and deviations</t>
  </si>
  <si>
    <t>Low deviation</t>
  </si>
  <si>
    <t>Mean</t>
  </si>
  <si>
    <t>High Deviation</t>
  </si>
  <si>
    <t>Input (rounded)</t>
  </si>
  <si>
    <t>Input (Rounded)</t>
  </si>
  <si>
    <t>Catchment TOTAL</t>
  </si>
  <si>
    <t>Low</t>
  </si>
  <si>
    <t>High</t>
  </si>
  <si>
    <t>Wet wipe microfibre river emissions model scenarios</t>
  </si>
  <si>
    <t>MEAN</t>
  </si>
  <si>
    <t>LOW</t>
  </si>
  <si>
    <t>MEAN (g/capita/y)</t>
  </si>
  <si>
    <t>LOW (g/capita/y)</t>
  </si>
  <si>
    <t>HIGH</t>
  </si>
  <si>
    <t>HIGH  (g/capita/y)</t>
  </si>
  <si>
    <t>Annual CSO Mass MF sent to WWTP</t>
  </si>
  <si>
    <t xml:space="preserve">Annual CSO Mass MF sent to WWTP </t>
  </si>
  <si>
    <t>MEAN CATCHMENT</t>
  </si>
  <si>
    <t>HIGH CATCHMENT</t>
  </si>
  <si>
    <t xml:space="preserve">Annual CSO Mass MF discharge total </t>
  </si>
  <si>
    <t>Annual CSO Mass MF sent to WWTP total</t>
  </si>
  <si>
    <t>LOW CATCHMENT</t>
  </si>
  <si>
    <t>Primary</t>
  </si>
  <si>
    <t>LOW INPUT</t>
  </si>
  <si>
    <t>MEAN INPUT</t>
  </si>
  <si>
    <t>HIGH INPUT</t>
  </si>
  <si>
    <t>Secondary</t>
  </si>
  <si>
    <t>Tertiary</t>
  </si>
  <si>
    <t xml:space="preserve">CSO operation (and WWTP divergence) </t>
  </si>
  <si>
    <t xml:space="preserve">Built Area </t>
  </si>
  <si>
    <t xml:space="preserve">Pop Density </t>
  </si>
  <si>
    <t xml:space="preserve">CSO Area </t>
  </si>
  <si>
    <t xml:space="preserve">Low </t>
  </si>
  <si>
    <t xml:space="preserve">Per capita mass to catchment (g/capita/y) </t>
  </si>
  <si>
    <t xml:space="preserve">Mean </t>
  </si>
  <si>
    <t>Per capita mass to catchment (g/capita/y)</t>
  </si>
  <si>
    <t xml:space="preserve">High </t>
  </si>
  <si>
    <t xml:space="preserve">         </t>
  </si>
  <si>
    <t>Catchment Totals by fibre generation range</t>
  </si>
  <si>
    <t>Upper Taf</t>
  </si>
  <si>
    <t xml:space="preserve">                            (#/capita/y)</t>
  </si>
  <si>
    <r>
      <t xml:space="preserve">                   </t>
    </r>
    <r>
      <rPr>
        <b/>
        <sz val="12"/>
        <color theme="1"/>
        <rFont val="Calibri"/>
        <family val="2"/>
        <scheme val="minor"/>
      </rPr>
      <t xml:space="preserve">    (g/capita/y)</t>
    </r>
  </si>
  <si>
    <r>
      <t xml:space="preserve">                   </t>
    </r>
    <r>
      <rPr>
        <b/>
        <sz val="12"/>
        <color theme="1"/>
        <rFont val="Calibri"/>
        <family val="2"/>
        <scheme val="minor"/>
      </rPr>
      <t xml:space="preserve">    (g/capita/y</t>
    </r>
    <r>
      <rPr>
        <sz val="12"/>
        <color theme="1"/>
        <rFont val="Calibri"/>
        <family val="2"/>
        <scheme val="minor"/>
      </rPr>
      <t xml:space="preserve">)  </t>
    </r>
  </si>
  <si>
    <t>Mass values based on average weight of 4.75g, derived from mean of 4.6-4.9g for flushables and non-flushables, respectively (Durakan and Karadagli 2019)  - because of the different fibre blends in both and difficulty of knowing blended composition weights</t>
  </si>
  <si>
    <t>PLASTIC Solid Mass Input</t>
  </si>
  <si>
    <t>PLASTIC Solid Count Input</t>
  </si>
  <si>
    <t>NON-PLASTIC Solid Mass Input</t>
  </si>
  <si>
    <t>NON-PLASTIC Solid Count Input</t>
  </si>
  <si>
    <t>Per capita NON-PLASTIC solid mass</t>
  </si>
  <si>
    <t>Per capita NON-PLASTIC solid count</t>
  </si>
  <si>
    <t>Per capita PLASTIC solid count</t>
  </si>
  <si>
    <t>Per capita PLASTIC solid mass</t>
  </si>
  <si>
    <t>Wastewater parameters</t>
  </si>
  <si>
    <t>Wet wipe Solid Inputs to Wastewater</t>
  </si>
  <si>
    <t xml:space="preserve"> Solid Wastewater Inputs</t>
  </si>
  <si>
    <t xml:space="preserve"> (g/km2 basin/y)</t>
  </si>
  <si>
    <t xml:space="preserve"> (#/km2 basin/y)</t>
  </si>
  <si>
    <t>Based on Ellis and Butler 2015, there's a 3% average miscconnection rate in UK, of which 7% of that is from toilets</t>
  </si>
  <si>
    <t>7% of 3% assumed = 0.0021%</t>
  </si>
  <si>
    <t>PLASTIC Solid Mass Output</t>
  </si>
  <si>
    <t>Input to CSOs</t>
  </si>
  <si>
    <t>km2 basin being based on each CSO catchment within the watershed basin</t>
  </si>
  <si>
    <t>CSO Output</t>
  </si>
  <si>
    <t xml:space="preserve">NON-PLASTIC Solid Mass </t>
  </si>
  <si>
    <t xml:space="preserve">NON-PLASTIC Solid Count </t>
  </si>
  <si>
    <t>PLASTIC Solid Count</t>
  </si>
  <si>
    <t xml:space="preserve">PLASTIC Solid Mass </t>
  </si>
  <si>
    <t>Total Mean</t>
  </si>
  <si>
    <t>Lower</t>
  </si>
  <si>
    <t>Upper</t>
  </si>
  <si>
    <t>Plastic containing (90%)</t>
  </si>
  <si>
    <t>Non-plastic containing (10%)</t>
  </si>
  <si>
    <t>* Based on estimated 11 billion wet wipes used annually in UK</t>
  </si>
  <si>
    <t>TOTAL (23%*)</t>
  </si>
  <si>
    <r>
      <t xml:space="preserve">     Range: </t>
    </r>
    <r>
      <rPr>
        <b/>
        <sz val="12"/>
        <color theme="1"/>
        <rFont val="Calibri"/>
        <family val="2"/>
      </rPr>
      <t xml:space="preserve">± 0.4 billion so ± </t>
    </r>
    <r>
      <rPr>
        <b/>
        <sz val="12"/>
        <color theme="1"/>
        <rFont val="Calibri"/>
        <family val="2"/>
        <scheme val="minor"/>
      </rPr>
      <t>16%</t>
    </r>
  </si>
  <si>
    <r>
      <rPr>
        <b/>
        <sz val="24"/>
        <color theme="1"/>
        <rFont val="Calibri"/>
        <family val="2"/>
        <scheme val="minor"/>
      </rPr>
      <t>Flushed Wet Wipes UK Annually</t>
    </r>
    <r>
      <rPr>
        <sz val="12"/>
        <color theme="1"/>
        <rFont val="Calibri"/>
        <family val="2"/>
        <scheme val="minor"/>
      </rPr>
      <t xml:space="preserve"> </t>
    </r>
  </si>
  <si>
    <t>Fraction to WWTPs (blockages or physically filtered)</t>
  </si>
  <si>
    <t xml:space="preserve">Number MF (#/ km2 basin/ y) </t>
  </si>
  <si>
    <t>Low #</t>
  </si>
  <si>
    <t>Based on Range information from Kwon et al. and Zambrano et al. 2019 (Rough assumption that the mean will likely be Regenerated, High range with be natural, low will be plastic) - then multiplied by total wet wipes/capita/flushed</t>
  </si>
  <si>
    <t>Mass Input</t>
  </si>
  <si>
    <t>Mass input</t>
  </si>
  <si>
    <t># MF Input</t>
  </si>
  <si>
    <t># MF input</t>
  </si>
  <si>
    <t>Catchment Inputs by fibre generation range</t>
  </si>
  <si>
    <t>RIVER MF Output scenarios based on wwtp efficiency and constant cso output (g/basin/y)</t>
  </si>
  <si>
    <t>Sewer Misconnections</t>
  </si>
  <si>
    <t>Proportion diverted</t>
  </si>
  <si>
    <t>Input to Rivers</t>
  </si>
  <si>
    <t>Proportion to CSO</t>
  </si>
  <si>
    <t xml:space="preserve">Parameters </t>
  </si>
  <si>
    <t>(8% of 3% - Ellis &amp; Butler 2015)</t>
  </si>
  <si>
    <t>Input to CSO stage</t>
  </si>
  <si>
    <t>Catchment level</t>
  </si>
  <si>
    <t>Individual cso level</t>
  </si>
  <si>
    <t xml:space="preserve">Non Plastic </t>
  </si>
  <si>
    <t xml:space="preserve">Flushed wipes per capita </t>
  </si>
  <si>
    <t>Annually</t>
  </si>
  <si>
    <t>Per day</t>
  </si>
  <si>
    <t>Plastic</t>
  </si>
  <si>
    <t>Both</t>
  </si>
  <si>
    <t>Flushable Wipes</t>
  </si>
  <si>
    <t>(Assuming 100% compositions)</t>
  </si>
  <si>
    <t>Non-flushable Wipes</t>
  </si>
  <si>
    <t>Mean (g)</t>
  </si>
  <si>
    <t>Annually (no./cap/y)</t>
  </si>
  <si>
    <t>Based on Durukan &amp; Karadagli</t>
  </si>
  <si>
    <t xml:space="preserve">Mass </t>
  </si>
  <si>
    <t>Mean of both values*</t>
  </si>
  <si>
    <t>* accounts for different fibre blends</t>
  </si>
  <si>
    <t>Mass flushed per capita</t>
  </si>
  <si>
    <t>Non plastic (mean of both)</t>
  </si>
  <si>
    <t>Plastic (mean of both)</t>
  </si>
  <si>
    <t xml:space="preserve">Flushed Fibre Generation ranges </t>
  </si>
  <si>
    <t>Microfibres (#/g mat.)</t>
  </si>
  <si>
    <t>Mass (mg/g mat.)</t>
  </si>
  <si>
    <t>Mass (g/g mat.)</t>
  </si>
  <si>
    <t>163,000-933,000</t>
  </si>
  <si>
    <t>16-40mg</t>
  </si>
  <si>
    <t>Natural fibres (in water)</t>
  </si>
  <si>
    <t>Values based on Kwon et al. 2022</t>
  </si>
  <si>
    <t>Non-natural fibres (in water)</t>
  </si>
  <si>
    <t>0.4-6.8mg</t>
  </si>
  <si>
    <t>15,000-40,600</t>
  </si>
  <si>
    <t>Meltblown plastic fibres (in water)</t>
  </si>
  <si>
    <t>710-5170</t>
  </si>
  <si>
    <t xml:space="preserve">0.24-1.22mg </t>
  </si>
  <si>
    <t>0.016-0.04g</t>
  </si>
  <si>
    <t>0.0004-0.0068g</t>
  </si>
  <si>
    <t>0.076-0.19g</t>
  </si>
  <si>
    <t>0.0019-0.0323g</t>
  </si>
  <si>
    <t>0.0011-0.0058g</t>
  </si>
  <si>
    <t>Input to Rivers - Mass</t>
  </si>
  <si>
    <t>Input to Rivers - #</t>
  </si>
  <si>
    <t>Input to CSO stage - #</t>
  </si>
  <si>
    <t>Input to CSO stage - mass</t>
  </si>
  <si>
    <t>Amount entering sewage sludge</t>
  </si>
  <si>
    <t>Remaining amount</t>
  </si>
  <si>
    <t>WWTP fibres to Sewage Sludge</t>
  </si>
  <si>
    <t>Toilet Misconnections Output</t>
  </si>
  <si>
    <t>Assume that all of this goes to landfill</t>
  </si>
  <si>
    <t>g/capita/y</t>
  </si>
  <si>
    <t>LOW per capita mass</t>
  </si>
  <si>
    <t xml:space="preserve">Low per capita # </t>
  </si>
  <si>
    <t>#/capita/y</t>
  </si>
  <si>
    <t>Mass</t>
  </si>
  <si>
    <t>LOW CATCHMENT Mass wwtp stage</t>
  </si>
  <si>
    <t>LOW CATCHMENT Mass CSO out</t>
  </si>
  <si>
    <t>Low Catchment # CSO out</t>
  </si>
  <si>
    <t>Low catchment # wwtp stage</t>
  </si>
  <si>
    <t>Mass CATCHMENT</t>
  </si>
  <si>
    <t># CATCHMENT</t>
  </si>
  <si>
    <t>MEAN (#/capita/y)</t>
  </si>
  <si>
    <t>MEAN per capita mass</t>
  </si>
  <si>
    <t xml:space="preserve">MEAN per capita # </t>
  </si>
  <si>
    <t>Annual CSO no. MF discharge total per catchment</t>
  </si>
  <si>
    <t>Annual CSO no. MF to wwtp per catchment</t>
  </si>
  <si>
    <t xml:space="preserve">Annual CSO Mass no. MF sent to WWTP </t>
  </si>
  <si>
    <t>Mass Catchment</t>
  </si>
  <si>
    <t>Annual CSO # MF discharge total per catchment</t>
  </si>
  <si>
    <t>Annual CSO # MF to wwtp per catchment</t>
  </si>
  <si>
    <t># Catchment</t>
  </si>
  <si>
    <t xml:space="preserve">Annual CSO # MF sent to WWTP </t>
  </si>
  <si>
    <t>HIGH (#/capita/y)</t>
  </si>
  <si>
    <t>HIGH per capita</t>
  </si>
  <si>
    <t>No. #</t>
  </si>
  <si>
    <t xml:space="preserve">Annual CSO no. MF discharge total </t>
  </si>
  <si>
    <t>Annual CSO no. MF sent to WWTP total</t>
  </si>
  <si>
    <t>Primary g</t>
  </si>
  <si>
    <t>Primary #</t>
  </si>
  <si>
    <t>Secondary g</t>
  </si>
  <si>
    <t>Secondary #</t>
  </si>
  <si>
    <t>Tertiary g</t>
  </si>
  <si>
    <t>Tertiary #</t>
  </si>
  <si>
    <t>Primary  #</t>
  </si>
  <si>
    <t>`</t>
  </si>
  <si>
    <t>LOW INPUT Mass</t>
  </si>
  <si>
    <t>LOW INPUT #</t>
  </si>
  <si>
    <t>HIGH INPUT Mass</t>
  </si>
  <si>
    <t>HIGH INPUT #</t>
  </si>
  <si>
    <t>MEAN INPUT #</t>
  </si>
  <si>
    <t>MEAN INPUT mass</t>
  </si>
  <si>
    <t>Proportion to agriculture</t>
  </si>
  <si>
    <t>Proportion to Landfill</t>
  </si>
  <si>
    <t>Proportions to agriculture and landfill  (Based on Lofty et al. 2022 findings)</t>
  </si>
  <si>
    <t>Amount from sewage sludge diverted</t>
  </si>
  <si>
    <t>Agriculture</t>
  </si>
  <si>
    <t>LOW mass</t>
  </si>
  <si>
    <t>Landfill</t>
  </si>
  <si>
    <t>LOW #</t>
  </si>
  <si>
    <t>MEAN mass</t>
  </si>
  <si>
    <t>MEAN #</t>
  </si>
  <si>
    <t>HIGH mass</t>
  </si>
  <si>
    <t>HIGH #</t>
  </si>
  <si>
    <t>* Assume that % not going to effluent goes to sludge. United Kingdom % of total produced sewage sludge recycled to agricultural land = 68% median (61-75%)  32% average therefore goes to landfill and other facilities (25-39%)</t>
  </si>
  <si>
    <t>Averaged amount from sewage sludge diverted</t>
  </si>
  <si>
    <r>
      <rPr>
        <b/>
        <sz val="16"/>
        <color theme="1"/>
        <rFont val="Calibri"/>
        <family val="2"/>
        <scheme val="minor"/>
      </rPr>
      <t>Proportions to agriculture and landfill</t>
    </r>
    <r>
      <rPr>
        <b/>
        <sz val="14"/>
        <color theme="1"/>
        <rFont val="Calibri"/>
        <family val="2"/>
        <scheme val="minor"/>
      </rPr>
      <t xml:space="preserve">  (Based on Lofty et al. 2022 findings)* </t>
    </r>
  </si>
  <si>
    <t xml:space="preserve">No. of flushed wipes </t>
  </si>
  <si>
    <t xml:space="preserve">LOW </t>
  </si>
  <si>
    <t xml:space="preserve">RIVER # no. #/basin/y </t>
  </si>
  <si>
    <t>Catchment level #</t>
  </si>
  <si>
    <t>Catchment level mass</t>
  </si>
  <si>
    <t>99% Proportion</t>
  </si>
  <si>
    <t>MASS</t>
  </si>
  <si>
    <t>#</t>
  </si>
  <si>
    <t>0.00024-0.0012g</t>
  </si>
  <si>
    <t xml:space="preserve">Plastic </t>
  </si>
  <si>
    <t>INPUT Mass</t>
  </si>
  <si>
    <t>INPUT #</t>
  </si>
  <si>
    <t>Non Plastic</t>
  </si>
  <si>
    <t>RIVER MF Output scenarios based on wwtp efficiency and constant cso output (_/catchment/y)</t>
  </si>
  <si>
    <t>Asssumed Export</t>
  </si>
  <si>
    <t>Worst Case</t>
  </si>
  <si>
    <t>Conservative case</t>
  </si>
  <si>
    <r>
      <rPr>
        <b/>
        <sz val="16"/>
        <color theme="1"/>
        <rFont val="Calibri"/>
        <family val="2"/>
        <scheme val="minor"/>
      </rPr>
      <t>Likely Soil runoff proportions</t>
    </r>
    <r>
      <rPr>
        <b/>
        <sz val="14"/>
        <color theme="1"/>
        <rFont val="Calibri"/>
        <family val="2"/>
        <scheme val="minor"/>
      </rPr>
      <t xml:space="preserve"> (Crossman et al. 2020 = 99%,  Nizzetto et al. 2016 assume average of 73%)</t>
    </r>
  </si>
  <si>
    <t>73% Proportion</t>
  </si>
  <si>
    <t>WORST CASE</t>
  </si>
  <si>
    <t>CONSERVATIVE CASE</t>
  </si>
  <si>
    <t>RIVER MF Output INCLUDING soil runoff proportions (g/basin/y)</t>
  </si>
  <si>
    <t>Worst case</t>
  </si>
  <si>
    <t>Cons. case</t>
  </si>
  <si>
    <t>CONSERVATIVE case</t>
  </si>
  <si>
    <t>WORST case</t>
  </si>
  <si>
    <t>Assumed Export</t>
  </si>
  <si>
    <t>73% proportion</t>
  </si>
  <si>
    <t>CONS. Case</t>
  </si>
  <si>
    <t>WORST Case</t>
  </si>
  <si>
    <t>Likely Soil runoff proportions (Crossman et al. 2020 + Nizzetto et al. 2016)</t>
  </si>
  <si>
    <t xml:space="preserve">RIVER # no.( #/basin/y) </t>
  </si>
  <si>
    <t>CONSERVATIVE</t>
  </si>
  <si>
    <t>RIVER MASS Output without Agricultural soil (g/basin/y)</t>
  </si>
  <si>
    <t xml:space="preserve">RIVER MASS  (g/basin/y) </t>
  </si>
  <si>
    <t xml:space="preserve">RIVER MASS Output WORST CASE </t>
  </si>
  <si>
    <t>WORST</t>
  </si>
  <si>
    <r>
      <rPr>
        <b/>
        <sz val="16"/>
        <color theme="1"/>
        <rFont val="Calibri"/>
        <family val="2"/>
        <scheme val="minor"/>
      </rPr>
      <t>Likely Soil runoff proportions</t>
    </r>
    <r>
      <rPr>
        <b/>
        <sz val="14"/>
        <color theme="1"/>
        <rFont val="Calibri"/>
        <family val="2"/>
        <scheme val="minor"/>
      </rPr>
      <t xml:space="preserve"> (Crossman et al. 2020 = 99%,  Nizzetto et al. 2016 assume average of 73% - but consider Nizzetto et al. 2022)</t>
    </r>
  </si>
  <si>
    <t>Laundry Natural microfibre river emissions comparison (Vassilenko et al. 2021)</t>
  </si>
  <si>
    <t xml:space="preserve">Based on Vassilenko et al. 2021 &amp; ONS data = 165 mg/kg/wash, every UK house does 260 washes per year and 2.36 people per house so - 260 / 236 = 110.16 washes/capita/year </t>
  </si>
  <si>
    <t>High range</t>
  </si>
  <si>
    <t>Low range</t>
  </si>
  <si>
    <t>Mass MF (g/km2 basin/y) Mean and deviations -  mass based on average from 110 washes per person annually UK - each wash being an average 6kg</t>
  </si>
  <si>
    <t>Based on this: 110 washes x mass value ___ x average 6kg = mass/capita/year</t>
  </si>
  <si>
    <t>Lower bound</t>
  </si>
  <si>
    <t>Higher bound</t>
  </si>
  <si>
    <t xml:space="preserve">LOWER BOUNDS </t>
  </si>
  <si>
    <t>HIGHER BOUND</t>
  </si>
  <si>
    <t>LOWER BOUND</t>
  </si>
  <si>
    <t>HIGH BOUND</t>
  </si>
  <si>
    <t>LOW BOUND</t>
  </si>
  <si>
    <t>Laundry microfibre river emissions model total</t>
  </si>
  <si>
    <t xml:space="preserve">Mass MF (g/km2 basin/y) - Assuming the average wash is 6kg </t>
  </si>
  <si>
    <t>High # (more than)</t>
  </si>
  <si>
    <t>Midpoint #</t>
  </si>
  <si>
    <t>Mean unknown in this case</t>
  </si>
  <si>
    <t>(#/capita/y)</t>
  </si>
  <si>
    <t>Mid point (not necessarily the mean)</t>
  </si>
  <si>
    <t>MID POINT</t>
  </si>
  <si>
    <t>Mass MF (g/km2 basin/y) Mean and deviations - using plastic wipe values as of the trickiness of regenerated cellulose and plastics blended together - probs underestimated in %</t>
  </si>
  <si>
    <t xml:space="preserve">Initial CSO Mass MF discharge </t>
  </si>
  <si>
    <t xml:space="preserve">FINAL Annual CSO Mass MF discharge </t>
  </si>
  <si>
    <t>Initial CSO Mass MF discharge</t>
  </si>
  <si>
    <t>FINAL Annual CSO Mass MF discharge</t>
  </si>
  <si>
    <t>FINAL CSO Mass MF discharge</t>
  </si>
  <si>
    <t xml:space="preserve">FINAL CSO Mass MF discharge </t>
  </si>
  <si>
    <t xml:space="preserve">INITIAL CSO Mass MF discharge </t>
  </si>
  <si>
    <t>INITIAL CSO Mass MF discharge</t>
  </si>
  <si>
    <t>FINAL CSO Mass MF Discharge</t>
  </si>
  <si>
    <t>adding 50%</t>
  </si>
  <si>
    <t>(50%</t>
  </si>
  <si>
    <t>FINAL CSO no. MF discharge</t>
  </si>
  <si>
    <t>FINAL CSO # MF discharge</t>
  </si>
  <si>
    <t>Initial CSO # MF discharge</t>
  </si>
  <si>
    <t>iNITIAL CSO Mass MF discharge</t>
  </si>
  <si>
    <t xml:space="preserve">Final CSO Mass MF discharge </t>
  </si>
  <si>
    <t>Initial CSO no. MF discharge</t>
  </si>
  <si>
    <t>0.133g</t>
  </si>
  <si>
    <t>0.0171g</t>
  </si>
  <si>
    <t>0.0034g</t>
  </si>
  <si>
    <t xml:space="preserve">  </t>
  </si>
  <si>
    <t>KG</t>
  </si>
  <si>
    <t>Grams</t>
  </si>
  <si>
    <t>RIVER MF Output INCLUDING soil runoff proportions (g/km2/y)</t>
  </si>
  <si>
    <t>g</t>
  </si>
  <si>
    <t>kg</t>
  </si>
  <si>
    <t>g/year</t>
  </si>
  <si>
    <t>LOW (g/y)</t>
  </si>
  <si>
    <t>MEAN (g/y)</t>
  </si>
  <si>
    <t>MEAN CATCHMENT (g/y)</t>
  </si>
  <si>
    <t>HIGH  (g/y)</t>
  </si>
  <si>
    <t>HIGH (g/y)</t>
  </si>
  <si>
    <t>HIGH CATCHMENT (g/y)</t>
  </si>
  <si>
    <t>LOW INPUT (g/y)</t>
  </si>
  <si>
    <t>MEAN INPUT (g/y)</t>
  </si>
  <si>
    <t>HIGH INPUT (g/y)</t>
  </si>
  <si>
    <t>LOW mass (g/y)</t>
  </si>
  <si>
    <t>MEAN mass (g/y)</t>
  </si>
  <si>
    <t>HIGH mass (g/y)</t>
  </si>
  <si>
    <t>CONSERVATIVE CASE (g/y)</t>
  </si>
  <si>
    <t>Catchment level (g/basin/y)</t>
  </si>
  <si>
    <t>g/basin/y</t>
  </si>
  <si>
    <t>LOW CATCHMENT (g/basin/y)</t>
  </si>
  <si>
    <t>MEAN CATCHMENT (g/basin/y</t>
  </si>
  <si>
    <t xml:space="preserve"> (g/y)</t>
  </si>
  <si>
    <t xml:space="preserve"> (#/y)</t>
  </si>
  <si>
    <t>ADDITIONAL PARAMETER FOR DISCUSSION ONLY</t>
  </si>
  <si>
    <t>Connected CSO population</t>
  </si>
  <si>
    <t>7% of 3% assumed = 0.021%</t>
  </si>
  <si>
    <t>2 Natural Laundry microfibres - Sillanpaa &amp; Sainio 2017 values</t>
  </si>
  <si>
    <t>2 Plastic Laundry microfibres - Sillanpaa &amp; Sainio 2017 values</t>
  </si>
  <si>
    <t>942.10kg</t>
  </si>
  <si>
    <t>Wastewater Inputs</t>
  </si>
  <si>
    <t xml:space="preserve">Mass MF (g/km2 basin/y) Mean and deviations </t>
  </si>
  <si>
    <t>Range mass generation (g/wipe)</t>
  </si>
  <si>
    <t>Mean of mass ranges (g/wipe)</t>
  </si>
  <si>
    <t>UK population 2023</t>
  </si>
  <si>
    <t>RIVER MF Output scenarios based on wwtp efficiency, Cso ouput and toilet misconnection (g/y)</t>
  </si>
  <si>
    <t>RIVER MF Output scenarios based on wwtp efficiency, cso output  and toilet misconnection (g/y)</t>
  </si>
  <si>
    <t>RIVER MF Output scenarios based on wwtp efficiency, cso output and misconnections (g/y)</t>
  </si>
  <si>
    <t>Upper Taff</t>
  </si>
  <si>
    <t>SO names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</si>
</sst>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
  </numFmts>
  <fonts count="20" x14ac:knownFonts="1">
    <font>
      <sz val="12"/>
      <color theme="1"/>
      <name val="Calibri"/>
      <family val="2"/>
      <scheme val="minor"/>
    </font>
    <font>
      <b/>
      <sz val="12"/>
      <color theme="1"/>
      <name val="Calibri"/>
      <family val="2"/>
      <scheme val="minor"/>
    </font>
    <font>
      <u/>
      <sz val="20"/>
      <color theme="1"/>
      <name val="Calibri (Body)"/>
    </font>
    <font>
      <sz val="26"/>
      <color theme="1"/>
      <name val="Calibri (Body)"/>
    </font>
    <font>
      <b/>
      <sz val="14"/>
      <color theme="1"/>
      <name val="Calibri (Body)"/>
    </font>
    <font>
      <sz val="12"/>
      <color rgb="FF000000"/>
      <name val="Calibri"/>
      <family val="2"/>
      <scheme val="minor"/>
    </font>
    <font>
      <b/>
      <sz val="12"/>
      <color rgb="FF000000"/>
      <name val="Calibri"/>
      <family val="2"/>
      <scheme val="minor"/>
    </font>
    <font>
      <b/>
      <sz val="20"/>
      <color theme="1"/>
      <name val="Calibri (Body)"/>
    </font>
    <font>
      <b/>
      <sz val="16"/>
      <color theme="1"/>
      <name val="Calibri"/>
      <family val="2"/>
      <scheme val="minor"/>
    </font>
    <font>
      <sz val="16"/>
      <color theme="1"/>
      <name val="Calibri"/>
      <family val="2"/>
      <scheme val="minor"/>
    </font>
    <font>
      <b/>
      <sz val="24"/>
      <color theme="1"/>
      <name val="Calibri"/>
      <family val="2"/>
      <scheme val="minor"/>
    </font>
    <font>
      <b/>
      <sz val="12"/>
      <color theme="1"/>
      <name val="Calibri"/>
      <family val="2"/>
    </font>
    <font>
      <sz val="12"/>
      <color rgb="FF202124"/>
      <name val="Calibri"/>
      <family val="2"/>
      <scheme val="minor"/>
    </font>
    <font>
      <i/>
      <sz val="12"/>
      <color theme="1"/>
      <name val="Calibri"/>
      <family val="2"/>
      <scheme val="minor"/>
    </font>
    <font>
      <b/>
      <sz val="18"/>
      <color theme="1"/>
      <name val="Calibri"/>
      <family val="2"/>
      <scheme val="minor"/>
    </font>
    <font>
      <b/>
      <sz val="18"/>
      <color theme="1"/>
      <name val="Calibri (Body)"/>
    </font>
    <font>
      <b/>
      <sz val="14"/>
      <color theme="1"/>
      <name val="Calibri"/>
      <family val="2"/>
      <scheme val="minor"/>
    </font>
    <font>
      <b/>
      <sz val="12"/>
      <color theme="0"/>
      <name val="Calibri"/>
      <family val="2"/>
      <scheme val="minor"/>
    </font>
    <font>
      <b/>
      <sz val="26"/>
      <color theme="1"/>
      <name val="Calibri (Body)"/>
    </font>
    <font>
      <sz val="12"/>
      <color theme="0"/>
      <name val="Calibri"/>
      <family val="2"/>
      <scheme val="minor"/>
    </font>
  </fonts>
  <fills count="24">
    <fill>
      <patternFill patternType="none"/>
    </fill>
    <fill>
      <patternFill patternType="gray125"/>
    </fill>
    <fill>
      <patternFill patternType="solid">
        <fgColor theme="7" tint="0.39997558519241921"/>
        <bgColor indexed="64"/>
      </patternFill>
    </fill>
    <fill>
      <patternFill patternType="solid">
        <fgColor theme="4" tint="0.39997558519241921"/>
        <bgColor indexed="64"/>
      </patternFill>
    </fill>
    <fill>
      <patternFill patternType="solid">
        <fgColor rgb="FF8180FF"/>
        <bgColor indexed="64"/>
      </patternFill>
    </fill>
    <fill>
      <patternFill patternType="solid">
        <fgColor rgb="FFFFC000"/>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theme="0"/>
        <bgColor indexed="64"/>
      </patternFill>
    </fill>
    <fill>
      <patternFill patternType="solid">
        <fgColor rgb="FFE2EFDA"/>
        <bgColor rgb="FF000000"/>
      </patternFill>
    </fill>
    <fill>
      <patternFill patternType="solid">
        <fgColor rgb="FF8EA9DB"/>
        <bgColor rgb="FF000000"/>
      </patternFill>
    </fill>
    <fill>
      <patternFill patternType="solid">
        <fgColor rgb="FFFFC000"/>
        <bgColor rgb="FF000000"/>
      </patternFill>
    </fill>
    <fill>
      <patternFill patternType="solid">
        <fgColor theme="2" tint="-0.499984740745262"/>
        <bgColor indexed="64"/>
      </patternFill>
    </fill>
    <fill>
      <patternFill patternType="solid">
        <fgColor rgb="FFFFFF00"/>
        <bgColor indexed="64"/>
      </patternFill>
    </fill>
    <fill>
      <patternFill patternType="solid">
        <fgColor theme="7" tint="0.59999389629810485"/>
        <bgColor indexed="64"/>
      </patternFill>
    </fill>
    <fill>
      <patternFill patternType="solid">
        <fgColor rgb="FFAD4CF8"/>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7"/>
        <bgColor indexed="64"/>
      </patternFill>
    </fill>
    <fill>
      <patternFill patternType="solid">
        <fgColor rgb="FF8C69DE"/>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rgb="FF8180FF"/>
        <bgColor rgb="FF000000"/>
      </patternFill>
    </fill>
    <fill>
      <patternFill patternType="solid">
        <fgColor theme="7" tint="0.39997558519241921"/>
        <bgColor rgb="FF000000"/>
      </patternFill>
    </fill>
  </fills>
  <borders count="16">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1">
    <xf numFmtId="0" fontId="0" fillId="0" borderId="0"/>
  </cellStyleXfs>
  <cellXfs count="271">
    <xf numFmtId="0" fontId="0" fillId="0" borderId="0" xfId="0"/>
    <xf numFmtId="0" fontId="1" fillId="0" borderId="0" xfId="0" applyFont="1"/>
    <xf numFmtId="1" fontId="0" fillId="0" borderId="0" xfId="0" applyNumberFormat="1"/>
    <xf numFmtId="0" fontId="0" fillId="0" borderId="2" xfId="0" applyBorder="1"/>
    <xf numFmtId="0" fontId="0" fillId="0" borderId="4" xfId="0" applyBorder="1"/>
    <xf numFmtId="0" fontId="0" fillId="0" borderId="5" xfId="0" applyBorder="1"/>
    <xf numFmtId="0" fontId="1" fillId="2" borderId="9" xfId="0" applyFont="1" applyFill="1" applyBorder="1"/>
    <xf numFmtId="0" fontId="1" fillId="2" borderId="10" xfId="0" applyFont="1" applyFill="1" applyBorder="1"/>
    <xf numFmtId="0" fontId="1" fillId="3" borderId="10" xfId="0" applyFont="1" applyFill="1" applyBorder="1"/>
    <xf numFmtId="0" fontId="1" fillId="4" borderId="0" xfId="0" applyFont="1" applyFill="1"/>
    <xf numFmtId="0" fontId="1" fillId="5" borderId="0" xfId="0" applyFont="1" applyFill="1"/>
    <xf numFmtId="0" fontId="0" fillId="6" borderId="0" xfId="0" applyFill="1"/>
    <xf numFmtId="0" fontId="3" fillId="6" borderId="0" xfId="0" applyFont="1" applyFill="1"/>
    <xf numFmtId="1" fontId="0" fillId="0" borderId="5" xfId="0" applyNumberFormat="1" applyBorder="1"/>
    <xf numFmtId="0" fontId="2" fillId="6" borderId="2" xfId="0" applyFont="1" applyFill="1" applyBorder="1"/>
    <xf numFmtId="0" fontId="1" fillId="6" borderId="8" xfId="0" applyFont="1" applyFill="1" applyBorder="1"/>
    <xf numFmtId="0" fontId="1" fillId="7" borderId="8" xfId="0" applyFont="1" applyFill="1" applyBorder="1"/>
    <xf numFmtId="0" fontId="1" fillId="7" borderId="7" xfId="0" applyFont="1" applyFill="1" applyBorder="1"/>
    <xf numFmtId="0" fontId="0" fillId="7" borderId="7" xfId="0" applyFill="1" applyBorder="1"/>
    <xf numFmtId="0" fontId="0" fillId="7" borderId="3" xfId="0" applyFill="1" applyBorder="1"/>
    <xf numFmtId="0" fontId="0" fillId="7" borderId="0" xfId="0" applyFill="1"/>
    <xf numFmtId="0" fontId="0" fillId="7" borderId="1" xfId="0" applyFill="1" applyBorder="1"/>
    <xf numFmtId="0" fontId="1" fillId="7" borderId="0" xfId="0" applyFont="1" applyFill="1"/>
    <xf numFmtId="0" fontId="1" fillId="7" borderId="1" xfId="0" applyFont="1" applyFill="1" applyBorder="1"/>
    <xf numFmtId="0" fontId="4" fillId="6" borderId="2" xfId="0" applyFont="1" applyFill="1" applyBorder="1"/>
    <xf numFmtId="0" fontId="1" fillId="6" borderId="0" xfId="0" applyFont="1" applyFill="1"/>
    <xf numFmtId="0" fontId="4" fillId="8" borderId="3" xfId="0" applyFont="1" applyFill="1" applyBorder="1"/>
    <xf numFmtId="2" fontId="0" fillId="0" borderId="0" xfId="0" applyNumberFormat="1"/>
    <xf numFmtId="2" fontId="0" fillId="0" borderId="6" xfId="0" applyNumberFormat="1" applyBorder="1"/>
    <xf numFmtId="0" fontId="0" fillId="7" borderId="4" xfId="0" applyFill="1" applyBorder="1"/>
    <xf numFmtId="0" fontId="0" fillId="7" borderId="6" xfId="0" applyFill="1" applyBorder="1"/>
    <xf numFmtId="0" fontId="0" fillId="6" borderId="11" xfId="0" applyFill="1" applyBorder="1"/>
    <xf numFmtId="0" fontId="0" fillId="6" borderId="12" xfId="0" applyFill="1" applyBorder="1"/>
    <xf numFmtId="10" fontId="0" fillId="0" borderId="0" xfId="0" applyNumberFormat="1"/>
    <xf numFmtId="164" fontId="0" fillId="0" borderId="0" xfId="0" applyNumberFormat="1"/>
    <xf numFmtId="0" fontId="0" fillId="5" borderId="0" xfId="0" applyFill="1"/>
    <xf numFmtId="0" fontId="0" fillId="0" borderId="13" xfId="0" applyBorder="1"/>
    <xf numFmtId="0" fontId="1" fillId="5" borderId="10" xfId="0" applyFont="1" applyFill="1" applyBorder="1"/>
    <xf numFmtId="0" fontId="5" fillId="0" borderId="0" xfId="0" applyFont="1"/>
    <xf numFmtId="0" fontId="5" fillId="9" borderId="0" xfId="0" applyFont="1" applyFill="1"/>
    <xf numFmtId="0" fontId="6" fillId="10" borderId="10" xfId="0" applyFont="1" applyFill="1" applyBorder="1"/>
    <xf numFmtId="0" fontId="6" fillId="11" borderId="0" xfId="0" applyFont="1" applyFill="1"/>
    <xf numFmtId="2" fontId="5" fillId="0" borderId="0" xfId="0" applyNumberFormat="1" applyFont="1"/>
    <xf numFmtId="0" fontId="8" fillId="6" borderId="0" xfId="0" applyFont="1" applyFill="1"/>
    <xf numFmtId="0" fontId="0" fillId="13" borderId="0" xfId="0" applyFill="1"/>
    <xf numFmtId="0" fontId="1" fillId="5" borderId="11" xfId="0" applyFont="1" applyFill="1" applyBorder="1"/>
    <xf numFmtId="0" fontId="1" fillId="5" borderId="2" xfId="0" applyFont="1" applyFill="1" applyBorder="1"/>
    <xf numFmtId="2" fontId="0" fillId="0" borderId="2" xfId="0" applyNumberFormat="1" applyBorder="1"/>
    <xf numFmtId="0" fontId="0" fillId="6" borderId="2" xfId="0" applyFill="1" applyBorder="1"/>
    <xf numFmtId="0" fontId="1" fillId="2" borderId="13" xfId="0" applyFont="1" applyFill="1" applyBorder="1"/>
    <xf numFmtId="0" fontId="6" fillId="10" borderId="5" xfId="0" applyFont="1" applyFill="1" applyBorder="1"/>
    <xf numFmtId="0" fontId="9" fillId="6" borderId="0" xfId="0" applyFont="1" applyFill="1"/>
    <xf numFmtId="0" fontId="6" fillId="10" borderId="4" xfId="0" applyFont="1" applyFill="1" applyBorder="1"/>
    <xf numFmtId="0" fontId="6" fillId="11" borderId="2" xfId="0" applyFont="1" applyFill="1" applyBorder="1"/>
    <xf numFmtId="2" fontId="5" fillId="0" borderId="2" xfId="0" applyNumberFormat="1" applyFont="1" applyBorder="1"/>
    <xf numFmtId="0" fontId="5" fillId="0" borderId="2" xfId="0" applyFont="1" applyBorder="1"/>
    <xf numFmtId="0" fontId="5" fillId="9" borderId="2" xfId="0" applyFont="1" applyFill="1" applyBorder="1"/>
    <xf numFmtId="0" fontId="1" fillId="3" borderId="9" xfId="0" applyFont="1" applyFill="1" applyBorder="1"/>
    <xf numFmtId="0" fontId="1" fillId="7" borderId="14" xfId="0" applyFont="1" applyFill="1" applyBorder="1"/>
    <xf numFmtId="0" fontId="0" fillId="12" borderId="7" xfId="0" applyFill="1" applyBorder="1"/>
    <xf numFmtId="0" fontId="1" fillId="3" borderId="5" xfId="0" applyFont="1" applyFill="1" applyBorder="1"/>
    <xf numFmtId="0" fontId="8" fillId="6" borderId="4" xfId="0" applyFont="1" applyFill="1" applyBorder="1"/>
    <xf numFmtId="0" fontId="1" fillId="2" borderId="5" xfId="0" applyFont="1" applyFill="1" applyBorder="1"/>
    <xf numFmtId="0" fontId="0" fillId="6" borderId="6" xfId="0" applyFill="1" applyBorder="1"/>
    <xf numFmtId="0" fontId="1" fillId="5" borderId="5" xfId="0" applyFont="1" applyFill="1" applyBorder="1"/>
    <xf numFmtId="0" fontId="7" fillId="6" borderId="4" xfId="0" applyFont="1" applyFill="1" applyBorder="1"/>
    <xf numFmtId="0" fontId="1" fillId="6" borderId="4" xfId="0" applyFont="1" applyFill="1" applyBorder="1"/>
    <xf numFmtId="0" fontId="0" fillId="14" borderId="0" xfId="0" applyFill="1"/>
    <xf numFmtId="0" fontId="1" fillId="15" borderId="0" xfId="0" applyFont="1" applyFill="1"/>
    <xf numFmtId="0" fontId="0" fillId="6" borderId="4" xfId="0" applyFill="1" applyBorder="1"/>
    <xf numFmtId="0" fontId="0" fillId="6" borderId="5" xfId="0" applyFill="1" applyBorder="1"/>
    <xf numFmtId="0" fontId="4" fillId="6" borderId="4" xfId="0" applyFont="1" applyFill="1" applyBorder="1"/>
    <xf numFmtId="0" fontId="0" fillId="4" borderId="0" xfId="0" applyFill="1"/>
    <xf numFmtId="0" fontId="0" fillId="7" borderId="5" xfId="0" applyFill="1" applyBorder="1"/>
    <xf numFmtId="0" fontId="1" fillId="16" borderId="0" xfId="0" applyFont="1" applyFill="1"/>
    <xf numFmtId="0" fontId="0" fillId="16" borderId="0" xfId="0" applyFill="1"/>
    <xf numFmtId="0" fontId="0" fillId="16" borderId="5" xfId="0" applyFill="1" applyBorder="1"/>
    <xf numFmtId="2" fontId="1" fillId="6" borderId="0" xfId="0" applyNumberFormat="1" applyFont="1" applyFill="1"/>
    <xf numFmtId="0" fontId="1" fillId="6" borderId="2" xfId="0" applyFont="1" applyFill="1" applyBorder="1"/>
    <xf numFmtId="0" fontId="0" fillId="6" borderId="13" xfId="0" applyFill="1" applyBorder="1"/>
    <xf numFmtId="0" fontId="0" fillId="17" borderId="0" xfId="0" applyFill="1"/>
    <xf numFmtId="0" fontId="1" fillId="17" borderId="0" xfId="0" applyFont="1" applyFill="1"/>
    <xf numFmtId="3" fontId="0" fillId="14" borderId="0" xfId="0" applyNumberFormat="1" applyFill="1"/>
    <xf numFmtId="3" fontId="0" fillId="14" borderId="1" xfId="0" applyNumberFormat="1" applyFill="1" applyBorder="1"/>
    <xf numFmtId="3" fontId="0" fillId="14" borderId="5" xfId="0" applyNumberFormat="1" applyFill="1" applyBorder="1"/>
    <xf numFmtId="3" fontId="0" fillId="14" borderId="6" xfId="0" applyNumberFormat="1" applyFill="1" applyBorder="1"/>
    <xf numFmtId="0" fontId="1" fillId="0" borderId="14" xfId="0" applyFont="1" applyBorder="1"/>
    <xf numFmtId="3" fontId="1" fillId="8" borderId="7" xfId="0" applyNumberFormat="1" applyFont="1" applyFill="1" applyBorder="1"/>
    <xf numFmtId="0" fontId="1" fillId="8" borderId="7" xfId="0" applyFont="1" applyFill="1" applyBorder="1"/>
    <xf numFmtId="0" fontId="1" fillId="8" borderId="3" xfId="0" applyFont="1" applyFill="1" applyBorder="1"/>
    <xf numFmtId="0" fontId="1" fillId="0" borderId="10" xfId="0" applyFont="1" applyBorder="1"/>
    <xf numFmtId="0" fontId="1" fillId="0" borderId="15" xfId="0" applyFont="1" applyBorder="1"/>
    <xf numFmtId="0" fontId="1" fillId="0" borderId="8" xfId="0" applyFont="1" applyBorder="1"/>
    <xf numFmtId="3" fontId="0" fillId="14" borderId="3" xfId="0" applyNumberFormat="1" applyFill="1" applyBorder="1"/>
    <xf numFmtId="165" fontId="0" fillId="0" borderId="0" xfId="0" applyNumberFormat="1"/>
    <xf numFmtId="4" fontId="0" fillId="0" borderId="0" xfId="0" applyNumberFormat="1"/>
    <xf numFmtId="3" fontId="0" fillId="0" borderId="0" xfId="0" applyNumberFormat="1"/>
    <xf numFmtId="165" fontId="12" fillId="0" borderId="0" xfId="0" applyNumberFormat="1" applyFont="1"/>
    <xf numFmtId="0" fontId="10" fillId="6" borderId="5" xfId="0" applyFont="1" applyFill="1" applyBorder="1"/>
    <xf numFmtId="0" fontId="10" fillId="6" borderId="0" xfId="0" applyFont="1" applyFill="1"/>
    <xf numFmtId="0" fontId="1" fillId="18" borderId="0" xfId="0" applyFont="1" applyFill="1"/>
    <xf numFmtId="0" fontId="1" fillId="7" borderId="15" xfId="0" applyFont="1" applyFill="1" applyBorder="1"/>
    <xf numFmtId="0" fontId="1" fillId="2" borderId="4" xfId="0" applyFont="1" applyFill="1" applyBorder="1"/>
    <xf numFmtId="0" fontId="1" fillId="19" borderId="0" xfId="0" applyFont="1" applyFill="1"/>
    <xf numFmtId="0" fontId="1" fillId="17" borderId="11" xfId="0" applyFont="1" applyFill="1" applyBorder="1"/>
    <xf numFmtId="0" fontId="1" fillId="17" borderId="13" xfId="0" applyFont="1" applyFill="1" applyBorder="1"/>
    <xf numFmtId="0" fontId="1" fillId="17" borderId="12" xfId="0" applyFont="1" applyFill="1" applyBorder="1"/>
    <xf numFmtId="0" fontId="0" fillId="0" borderId="1" xfId="0" applyBorder="1"/>
    <xf numFmtId="0" fontId="0" fillId="0" borderId="6" xfId="0" applyBorder="1"/>
    <xf numFmtId="0" fontId="1" fillId="17" borderId="14" xfId="0" applyFont="1" applyFill="1" applyBorder="1"/>
    <xf numFmtId="0" fontId="1" fillId="0" borderId="3" xfId="0" applyFont="1" applyBorder="1"/>
    <xf numFmtId="0" fontId="1" fillId="0" borderId="7" xfId="0" applyFont="1" applyBorder="1"/>
    <xf numFmtId="0" fontId="13" fillId="0" borderId="0" xfId="0" applyFont="1"/>
    <xf numFmtId="0" fontId="1" fillId="0" borderId="2" xfId="0" applyFont="1" applyBorder="1"/>
    <xf numFmtId="0" fontId="1" fillId="7" borderId="9" xfId="0" applyFont="1" applyFill="1" applyBorder="1"/>
    <xf numFmtId="0" fontId="1" fillId="7" borderId="2" xfId="0" applyFont="1" applyFill="1" applyBorder="1"/>
    <xf numFmtId="0" fontId="1" fillId="7" borderId="11" xfId="0" applyFont="1" applyFill="1" applyBorder="1"/>
    <xf numFmtId="0" fontId="0" fillId="7" borderId="2" xfId="0" applyFill="1" applyBorder="1"/>
    <xf numFmtId="0" fontId="0" fillId="12" borderId="2" xfId="0" applyFill="1" applyBorder="1"/>
    <xf numFmtId="0" fontId="0" fillId="12" borderId="4" xfId="0" applyFill="1" applyBorder="1"/>
    <xf numFmtId="0" fontId="8" fillId="6" borderId="5" xfId="0" applyFont="1" applyFill="1" applyBorder="1"/>
    <xf numFmtId="0" fontId="0" fillId="20" borderId="0" xfId="0" applyFill="1"/>
    <xf numFmtId="0" fontId="1" fillId="20" borderId="5" xfId="0" applyFont="1" applyFill="1" applyBorder="1"/>
    <xf numFmtId="0" fontId="1" fillId="20" borderId="0" xfId="0" applyFont="1" applyFill="1"/>
    <xf numFmtId="10" fontId="1" fillId="4" borderId="0" xfId="0" applyNumberFormat="1" applyFont="1" applyFill="1"/>
    <xf numFmtId="0" fontId="0" fillId="6" borderId="1" xfId="0" applyFill="1" applyBorder="1"/>
    <xf numFmtId="0" fontId="1" fillId="21" borderId="0" xfId="0" applyFont="1" applyFill="1"/>
    <xf numFmtId="2" fontId="10" fillId="6" borderId="0" xfId="0" applyNumberFormat="1" applyFont="1" applyFill="1"/>
    <xf numFmtId="2" fontId="1" fillId="2" borderId="5" xfId="0" applyNumberFormat="1" applyFont="1" applyFill="1" applyBorder="1"/>
    <xf numFmtId="2" fontId="1" fillId="18" borderId="0" xfId="0" applyNumberFormat="1" applyFont="1" applyFill="1"/>
    <xf numFmtId="165" fontId="10" fillId="6" borderId="0" xfId="0" applyNumberFormat="1" applyFont="1" applyFill="1"/>
    <xf numFmtId="165" fontId="1" fillId="2" borderId="5" xfId="0" applyNumberFormat="1" applyFont="1" applyFill="1" applyBorder="1"/>
    <xf numFmtId="165" fontId="1" fillId="18" borderId="0" xfId="0" applyNumberFormat="1" applyFont="1" applyFill="1"/>
    <xf numFmtId="165" fontId="1" fillId="6" borderId="0" xfId="0" applyNumberFormat="1" applyFont="1" applyFill="1"/>
    <xf numFmtId="165" fontId="1" fillId="5" borderId="10" xfId="0" applyNumberFormat="1" applyFont="1" applyFill="1" applyBorder="1"/>
    <xf numFmtId="165" fontId="1" fillId="5" borderId="0" xfId="0" applyNumberFormat="1" applyFont="1" applyFill="1"/>
    <xf numFmtId="165" fontId="0" fillId="6" borderId="0" xfId="0" applyNumberFormat="1" applyFill="1"/>
    <xf numFmtId="165" fontId="5" fillId="9" borderId="0" xfId="0" applyNumberFormat="1" applyFont="1" applyFill="1"/>
    <xf numFmtId="165" fontId="1" fillId="0" borderId="0" xfId="0" applyNumberFormat="1" applyFont="1"/>
    <xf numFmtId="2" fontId="0" fillId="6" borderId="0" xfId="0" applyNumberFormat="1" applyFill="1"/>
    <xf numFmtId="2" fontId="1" fillId="5" borderId="10" xfId="0" applyNumberFormat="1" applyFont="1" applyFill="1" applyBorder="1"/>
    <xf numFmtId="2" fontId="1" fillId="5" borderId="0" xfId="0" applyNumberFormat="1" applyFont="1" applyFill="1"/>
    <xf numFmtId="2" fontId="1" fillId="0" borderId="0" xfId="0" applyNumberFormat="1" applyFont="1"/>
    <xf numFmtId="2" fontId="8" fillId="6" borderId="0" xfId="0" applyNumberFormat="1" applyFont="1" applyFill="1"/>
    <xf numFmtId="4" fontId="1" fillId="6" borderId="0" xfId="0" applyNumberFormat="1" applyFont="1" applyFill="1"/>
    <xf numFmtId="4" fontId="1" fillId="5" borderId="10" xfId="0" applyNumberFormat="1" applyFont="1" applyFill="1" applyBorder="1"/>
    <xf numFmtId="4" fontId="1" fillId="5" borderId="0" xfId="0" applyNumberFormat="1" applyFont="1" applyFill="1"/>
    <xf numFmtId="4" fontId="10" fillId="6" borderId="0" xfId="0" applyNumberFormat="1" applyFont="1" applyFill="1"/>
    <xf numFmtId="4" fontId="1" fillId="2" borderId="5" xfId="0" applyNumberFormat="1" applyFont="1" applyFill="1" applyBorder="1"/>
    <xf numFmtId="4" fontId="1" fillId="18" borderId="0" xfId="0" applyNumberFormat="1" applyFont="1" applyFill="1"/>
    <xf numFmtId="4" fontId="0" fillId="6" borderId="0" xfId="0" applyNumberFormat="1" applyFill="1"/>
    <xf numFmtId="0" fontId="14" fillId="6" borderId="0" xfId="0" applyFont="1" applyFill="1"/>
    <xf numFmtId="4" fontId="1" fillId="0" borderId="0" xfId="0" applyNumberFormat="1" applyFont="1"/>
    <xf numFmtId="0" fontId="15" fillId="6" borderId="0" xfId="0" applyFont="1" applyFill="1"/>
    <xf numFmtId="0" fontId="1" fillId="2" borderId="0" xfId="0" applyFont="1" applyFill="1"/>
    <xf numFmtId="0" fontId="1" fillId="7" borderId="4" xfId="0" applyFont="1" applyFill="1" applyBorder="1"/>
    <xf numFmtId="4" fontId="1" fillId="2" borderId="10" xfId="0" applyNumberFormat="1" applyFont="1" applyFill="1" applyBorder="1"/>
    <xf numFmtId="4" fontId="0" fillId="0" borderId="5" xfId="0" applyNumberFormat="1" applyBorder="1"/>
    <xf numFmtId="4" fontId="0" fillId="5" borderId="0" xfId="0" applyNumberFormat="1" applyFill="1"/>
    <xf numFmtId="4" fontId="1" fillId="4" borderId="0" xfId="0" applyNumberFormat="1" applyFont="1" applyFill="1"/>
    <xf numFmtId="4" fontId="0" fillId="0" borderId="13" xfId="0" applyNumberFormat="1" applyBorder="1"/>
    <xf numFmtId="4" fontId="1" fillId="2" borderId="13" xfId="0" applyNumberFormat="1" applyFont="1" applyFill="1" applyBorder="1"/>
    <xf numFmtId="4" fontId="0" fillId="6" borderId="5" xfId="0" applyNumberFormat="1" applyFill="1" applyBorder="1"/>
    <xf numFmtId="4" fontId="1" fillId="5" borderId="2" xfId="0" applyNumberFormat="1" applyFont="1" applyFill="1" applyBorder="1"/>
    <xf numFmtId="0" fontId="16" fillId="6" borderId="0" xfId="0" applyFont="1" applyFill="1"/>
    <xf numFmtId="0" fontId="1" fillId="2" borderId="1" xfId="0" applyFont="1" applyFill="1" applyBorder="1"/>
    <xf numFmtId="0" fontId="1" fillId="4" borderId="1" xfId="0" applyFont="1" applyFill="1" applyBorder="1"/>
    <xf numFmtId="10" fontId="1" fillId="4" borderId="1" xfId="0" applyNumberFormat="1" applyFont="1" applyFill="1" applyBorder="1"/>
    <xf numFmtId="2" fontId="1" fillId="2" borderId="0" xfId="0" applyNumberFormat="1" applyFont="1" applyFill="1"/>
    <xf numFmtId="2" fontId="1" fillId="4" borderId="0" xfId="0" applyNumberFormat="1" applyFont="1" applyFill="1"/>
    <xf numFmtId="2" fontId="1" fillId="2" borderId="1" xfId="0" applyNumberFormat="1" applyFont="1" applyFill="1" applyBorder="1"/>
    <xf numFmtId="0" fontId="0" fillId="0" borderId="0" xfId="0" applyAlignment="1">
      <alignment wrapText="1"/>
    </xf>
    <xf numFmtId="0" fontId="0" fillId="2" borderId="0" xfId="0" applyFill="1"/>
    <xf numFmtId="2" fontId="0" fillId="2" borderId="0" xfId="0" applyNumberFormat="1" applyFill="1"/>
    <xf numFmtId="2" fontId="0" fillId="6" borderId="1" xfId="0" applyNumberFormat="1" applyFill="1" applyBorder="1"/>
    <xf numFmtId="11" fontId="0" fillId="6" borderId="0" xfId="0" applyNumberFormat="1" applyFill="1"/>
    <xf numFmtId="11" fontId="1" fillId="2" borderId="0" xfId="0" applyNumberFormat="1" applyFont="1" applyFill="1"/>
    <xf numFmtId="11" fontId="0" fillId="0" borderId="0" xfId="0" applyNumberFormat="1"/>
    <xf numFmtId="4" fontId="9" fillId="6" borderId="0" xfId="0" applyNumberFormat="1" applyFont="1" applyFill="1"/>
    <xf numFmtId="4" fontId="5" fillId="9" borderId="0" xfId="0" applyNumberFormat="1" applyFont="1" applyFill="1"/>
    <xf numFmtId="4" fontId="1" fillId="3" borderId="9" xfId="0" applyNumberFormat="1" applyFont="1" applyFill="1" applyBorder="1"/>
    <xf numFmtId="4" fontId="1" fillId="3" borderId="10" xfId="0" applyNumberFormat="1" applyFont="1" applyFill="1" applyBorder="1"/>
    <xf numFmtId="4" fontId="6" fillId="10" borderId="10" xfId="0" applyNumberFormat="1" applyFont="1" applyFill="1" applyBorder="1"/>
    <xf numFmtId="4" fontId="6" fillId="11" borderId="0" xfId="0" applyNumberFormat="1" applyFont="1" applyFill="1"/>
    <xf numFmtId="4" fontId="0" fillId="0" borderId="2" xfId="0" applyNumberFormat="1" applyBorder="1"/>
    <xf numFmtId="4" fontId="5" fillId="0" borderId="0" xfId="0" applyNumberFormat="1" applyFont="1"/>
    <xf numFmtId="4" fontId="0" fillId="6" borderId="2" xfId="0" applyNumberFormat="1" applyFill="1" applyBorder="1"/>
    <xf numFmtId="4" fontId="6" fillId="10" borderId="4" xfId="0" applyNumberFormat="1" applyFont="1" applyFill="1" applyBorder="1"/>
    <xf numFmtId="4" fontId="6" fillId="10" borderId="5" xfId="0" applyNumberFormat="1" applyFont="1" applyFill="1" applyBorder="1"/>
    <xf numFmtId="4" fontId="5" fillId="0" borderId="2" xfId="0" applyNumberFormat="1" applyFont="1" applyBorder="1"/>
    <xf numFmtId="4" fontId="5" fillId="9" borderId="2" xfId="0" applyNumberFormat="1" applyFont="1" applyFill="1" applyBorder="1"/>
    <xf numFmtId="0" fontId="1" fillId="19" borderId="10" xfId="0" applyFont="1" applyFill="1" applyBorder="1"/>
    <xf numFmtId="0" fontId="1" fillId="4" borderId="5" xfId="0" applyFont="1" applyFill="1" applyBorder="1"/>
    <xf numFmtId="0" fontId="1" fillId="4" borderId="10" xfId="0" applyFont="1" applyFill="1" applyBorder="1"/>
    <xf numFmtId="0" fontId="5" fillId="9" borderId="1" xfId="0" applyFont="1" applyFill="1" applyBorder="1"/>
    <xf numFmtId="0" fontId="6" fillId="10" borderId="6" xfId="0" applyFont="1" applyFill="1" applyBorder="1"/>
    <xf numFmtId="0" fontId="6" fillId="11" borderId="1" xfId="0" applyFont="1" applyFill="1" applyBorder="1"/>
    <xf numFmtId="2" fontId="5" fillId="0" borderId="1" xfId="0" applyNumberFormat="1" applyFont="1" applyBorder="1"/>
    <xf numFmtId="0" fontId="5" fillId="0" borderId="1" xfId="0" applyFont="1" applyBorder="1"/>
    <xf numFmtId="11" fontId="0" fillId="6" borderId="1" xfId="0" applyNumberFormat="1" applyFill="1" applyBorder="1"/>
    <xf numFmtId="11" fontId="1" fillId="2" borderId="1" xfId="0" applyNumberFormat="1" applyFont="1" applyFill="1" applyBorder="1"/>
    <xf numFmtId="11" fontId="9" fillId="6" borderId="0" xfId="0" applyNumberFormat="1" applyFont="1" applyFill="1"/>
    <xf numFmtId="11" fontId="5" fillId="9" borderId="0" xfId="0" applyNumberFormat="1" applyFont="1" applyFill="1"/>
    <xf numFmtId="11" fontId="1" fillId="3" borderId="9" xfId="0" applyNumberFormat="1" applyFont="1" applyFill="1" applyBorder="1"/>
    <xf numFmtId="11" fontId="1" fillId="3" borderId="10" xfId="0" applyNumberFormat="1" applyFont="1" applyFill="1" applyBorder="1"/>
    <xf numFmtId="11" fontId="6" fillId="10" borderId="10" xfId="0" applyNumberFormat="1" applyFont="1" applyFill="1" applyBorder="1"/>
    <xf numFmtId="11" fontId="6" fillId="10" borderId="4" xfId="0" applyNumberFormat="1" applyFont="1" applyFill="1" applyBorder="1"/>
    <xf numFmtId="11" fontId="6" fillId="10" borderId="5" xfId="0" applyNumberFormat="1" applyFont="1" applyFill="1" applyBorder="1"/>
    <xf numFmtId="11" fontId="1" fillId="5" borderId="2" xfId="0" applyNumberFormat="1" applyFont="1" applyFill="1" applyBorder="1"/>
    <xf numFmtId="11" fontId="1" fillId="5" borderId="0" xfId="0" applyNumberFormat="1" applyFont="1" applyFill="1"/>
    <xf numFmtId="11" fontId="6" fillId="11" borderId="0" xfId="0" applyNumberFormat="1" applyFont="1" applyFill="1"/>
    <xf numFmtId="11" fontId="0" fillId="0" borderId="2" xfId="0" applyNumberFormat="1" applyBorder="1"/>
    <xf numFmtId="11" fontId="5" fillId="0" borderId="0" xfId="0" applyNumberFormat="1" applyFont="1"/>
    <xf numFmtId="11" fontId="5" fillId="0" borderId="2" xfId="0" applyNumberFormat="1" applyFont="1" applyBorder="1"/>
    <xf numFmtId="11" fontId="0" fillId="6" borderId="2" xfId="0" applyNumberFormat="1" applyFill="1" applyBorder="1"/>
    <xf numFmtId="11" fontId="5" fillId="9" borderId="2" xfId="0" applyNumberFormat="1" applyFont="1" applyFill="1" applyBorder="1"/>
    <xf numFmtId="11" fontId="5" fillId="9" borderId="1" xfId="0" applyNumberFormat="1" applyFont="1" applyFill="1" applyBorder="1"/>
    <xf numFmtId="11" fontId="6" fillId="10" borderId="6" xfId="0" applyNumberFormat="1" applyFont="1" applyFill="1" applyBorder="1"/>
    <xf numFmtId="11" fontId="6" fillId="11" borderId="1" xfId="0" applyNumberFormat="1" applyFont="1" applyFill="1" applyBorder="1"/>
    <xf numFmtId="11" fontId="5" fillId="0" borderId="1" xfId="0" applyNumberFormat="1" applyFont="1" applyBorder="1"/>
    <xf numFmtId="164" fontId="3" fillId="6" borderId="0" xfId="0" applyNumberFormat="1" applyFont="1" applyFill="1"/>
    <xf numFmtId="164" fontId="1" fillId="2" borderId="10" xfId="0" applyNumberFormat="1" applyFont="1" applyFill="1" applyBorder="1"/>
    <xf numFmtId="164" fontId="1" fillId="4" borderId="0" xfId="0" applyNumberFormat="1" applyFont="1" applyFill="1"/>
    <xf numFmtId="164" fontId="0" fillId="6" borderId="0" xfId="0" applyNumberFormat="1" applyFill="1"/>
    <xf numFmtId="164" fontId="0" fillId="13" borderId="0" xfId="0" applyNumberFormat="1" applyFill="1"/>
    <xf numFmtId="11" fontId="8" fillId="6" borderId="5" xfId="0" applyNumberFormat="1" applyFont="1" applyFill="1" applyBorder="1"/>
    <xf numFmtId="11" fontId="1" fillId="3" borderId="5" xfId="0" applyNumberFormat="1" applyFont="1" applyFill="1" applyBorder="1"/>
    <xf numFmtId="11" fontId="0" fillId="20" borderId="0" xfId="0" applyNumberFormat="1" applyFill="1"/>
    <xf numFmtId="11" fontId="1" fillId="20" borderId="5" xfId="0" applyNumberFormat="1" applyFont="1" applyFill="1" applyBorder="1"/>
    <xf numFmtId="11" fontId="1" fillId="20" borderId="0" xfId="0" applyNumberFormat="1" applyFont="1" applyFill="1"/>
    <xf numFmtId="11" fontId="6" fillId="11" borderId="2" xfId="0" applyNumberFormat="1" applyFont="1" applyFill="1" applyBorder="1"/>
    <xf numFmtId="4" fontId="0" fillId="13" borderId="0" xfId="0" applyNumberFormat="1" applyFill="1"/>
    <xf numFmtId="9" fontId="1" fillId="5" borderId="0" xfId="0" applyNumberFormat="1" applyFont="1" applyFill="1"/>
    <xf numFmtId="9" fontId="0" fillId="4" borderId="0" xfId="0" applyNumberFormat="1" applyFill="1"/>
    <xf numFmtId="165" fontId="3" fillId="6" borderId="0" xfId="0" applyNumberFormat="1" applyFont="1" applyFill="1"/>
    <xf numFmtId="165" fontId="1" fillId="2" borderId="10" xfId="0" applyNumberFormat="1" applyFont="1" applyFill="1" applyBorder="1"/>
    <xf numFmtId="165" fontId="1" fillId="4" borderId="0" xfId="0" applyNumberFormat="1" applyFont="1" applyFill="1"/>
    <xf numFmtId="2" fontId="6" fillId="0" borderId="0" xfId="0" applyNumberFormat="1" applyFont="1"/>
    <xf numFmtId="0" fontId="6" fillId="0" borderId="0" xfId="0" applyFont="1"/>
    <xf numFmtId="0" fontId="6" fillId="22" borderId="0" xfId="0" applyFont="1" applyFill="1"/>
    <xf numFmtId="0" fontId="6" fillId="9" borderId="0" xfId="0" applyFont="1" applyFill="1"/>
    <xf numFmtId="0" fontId="5" fillId="9" borderId="5" xfId="0" applyFont="1" applyFill="1" applyBorder="1"/>
    <xf numFmtId="0" fontId="17" fillId="0" borderId="0" xfId="0" applyFont="1"/>
    <xf numFmtId="0" fontId="18" fillId="6" borderId="0" xfId="0" applyFont="1" applyFill="1"/>
    <xf numFmtId="0" fontId="17" fillId="0" borderId="0" xfId="0" applyFont="1" applyFill="1" applyBorder="1"/>
    <xf numFmtId="0" fontId="5" fillId="9" borderId="0" xfId="0" applyFont="1" applyFill="1" applyBorder="1"/>
    <xf numFmtId="0" fontId="0" fillId="0" borderId="5" xfId="0" applyFill="1" applyBorder="1"/>
    <xf numFmtId="0" fontId="0" fillId="0" borderId="0" xfId="0" applyBorder="1"/>
    <xf numFmtId="0" fontId="0" fillId="6" borderId="0" xfId="0" applyFill="1" applyBorder="1"/>
    <xf numFmtId="0" fontId="0" fillId="0" borderId="0" xfId="0" applyFill="1" applyBorder="1"/>
    <xf numFmtId="0" fontId="0" fillId="0" borderId="13" xfId="0" applyFill="1" applyBorder="1"/>
    <xf numFmtId="0" fontId="0" fillId="0" borderId="0" xfId="0" applyFill="1"/>
    <xf numFmtId="0" fontId="5" fillId="23" borderId="10" xfId="0" applyFont="1" applyFill="1" applyBorder="1"/>
    <xf numFmtId="165" fontId="0" fillId="0" borderId="0" xfId="0" applyNumberFormat="1" applyBorder="1"/>
    <xf numFmtId="0" fontId="5" fillId="0" borderId="0" xfId="0" applyFont="1" applyBorder="1"/>
    <xf numFmtId="2" fontId="0" fillId="0" borderId="0" xfId="0" applyNumberFormat="1" applyBorder="1"/>
    <xf numFmtId="165" fontId="0" fillId="0" borderId="5" xfId="0" applyNumberFormat="1" applyBorder="1"/>
    <xf numFmtId="0" fontId="5" fillId="0" borderId="5" xfId="0" applyFont="1" applyBorder="1"/>
    <xf numFmtId="2" fontId="0" fillId="0" borderId="5" xfId="0" applyNumberFormat="1" applyBorder="1"/>
    <xf numFmtId="164" fontId="0" fillId="0" borderId="5" xfId="0" applyNumberFormat="1" applyBorder="1"/>
    <xf numFmtId="2" fontId="0" fillId="0" borderId="0" xfId="0" applyNumberFormat="1" applyFill="1"/>
    <xf numFmtId="0" fontId="5" fillId="0" borderId="0" xfId="0" applyFont="1" applyFill="1"/>
    <xf numFmtId="165" fontId="12" fillId="0" borderId="0" xfId="0" applyNumberFormat="1" applyFont="1" applyBorder="1"/>
    <xf numFmtId="1" fontId="0" fillId="0" borderId="0" xfId="0" applyNumberFormat="1" applyBorder="1"/>
    <xf numFmtId="164" fontId="0" fillId="0" borderId="0" xfId="0" applyNumberFormat="1" applyBorder="1"/>
    <xf numFmtId="0" fontId="1" fillId="0" borderId="0" xfId="0" applyFont="1" applyBorder="1"/>
    <xf numFmtId="0" fontId="6" fillId="0" borderId="0" xfId="0" applyFont="1" applyFill="1"/>
    <xf numFmtId="0" fontId="1" fillId="0" borderId="0" xfId="0" applyFont="1" applyFill="1"/>
    <xf numFmtId="0" fontId="19" fillId="0" borderId="0" xfId="0" applyFont="1" applyFill="1"/>
    <xf numFmtId="0" fontId="0" fillId="7" borderId="0" xfId="0" applyFill="1" applyBorder="1"/>
    <xf numFmtId="2" fontId="0" fillId="0" borderId="0" xfId="0" applyNumberFormat="1" applyFill="1" applyBorder="1"/>
  </cellXfs>
  <cellStyles count="1">
    <cellStyle name="Normal" xfId="0" builtinId="0"/>
  </cellStyles>
  <dxfs count="0"/>
  <tableStyles count="0" defaultTableStyle="TableStyleMedium2" defaultPivotStyle="PivotStyleLight16"/>
  <colors>
    <mruColors>
      <color rgb="FF8180FF"/>
      <color rgb="FF8C69DE"/>
      <color rgb="FFAD4C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E18EF9-596A-4CD8-9239-CB14BCDF3E99}">
  <dimension ref="A1:G34"/>
  <sheetViews>
    <sheetView tabSelected="1" zoomScale="80" zoomScaleNormal="80" workbookViewId="0">
      <selection activeCell="E18" sqref="E18"/>
    </sheetView>
  </sheetViews>
  <sheetFormatPr baseColWidth="10" defaultColWidth="8.83203125" defaultRowHeight="16" x14ac:dyDescent="0.2"/>
  <cols>
    <col min="1" max="1" width="28.6640625" customWidth="1"/>
    <col min="2" max="2" width="19.6640625" customWidth="1"/>
    <col min="3" max="3" width="17.1640625" customWidth="1"/>
    <col min="4" max="4" width="17.33203125" customWidth="1"/>
    <col min="5" max="5" width="28.6640625" customWidth="1"/>
    <col min="6" max="6" width="25.6640625" customWidth="1"/>
  </cols>
  <sheetData>
    <row r="1" spans="1:5" ht="31" x14ac:dyDescent="0.35">
      <c r="A1" s="80" t="s">
        <v>170</v>
      </c>
      <c r="B1" s="80"/>
      <c r="C1" s="80"/>
      <c r="D1" s="80"/>
    </row>
    <row r="2" spans="1:5" x14ac:dyDescent="0.2">
      <c r="A2" s="80"/>
      <c r="B2" s="80"/>
      <c r="C2" s="81" t="s">
        <v>169</v>
      </c>
      <c r="D2" s="80"/>
    </row>
    <row r="3" spans="1:5" x14ac:dyDescent="0.2">
      <c r="A3" s="92"/>
      <c r="B3" s="90" t="s">
        <v>162</v>
      </c>
      <c r="C3" s="90" t="s">
        <v>163</v>
      </c>
      <c r="D3" s="91" t="s">
        <v>164</v>
      </c>
      <c r="E3" s="1"/>
    </row>
    <row r="4" spans="1:5" x14ac:dyDescent="0.2">
      <c r="A4" s="87" t="s">
        <v>168</v>
      </c>
      <c r="B4" s="82">
        <v>2500000000</v>
      </c>
      <c r="C4" s="82">
        <v>2100000000</v>
      </c>
      <c r="D4" s="83">
        <v>2900000000</v>
      </c>
    </row>
    <row r="5" spans="1:5" x14ac:dyDescent="0.2">
      <c r="A5" s="88" t="s">
        <v>165</v>
      </c>
      <c r="B5" s="82">
        <v>2250000000</v>
      </c>
      <c r="C5" s="82">
        <f xml:space="preserve"> B5 - (B5 * 0.16)</f>
        <v>1890000000</v>
      </c>
      <c r="D5" s="83">
        <f xml:space="preserve"> B5 + (B5 * 0.16)</f>
        <v>2610000000</v>
      </c>
    </row>
    <row r="6" spans="1:5" x14ac:dyDescent="0.2">
      <c r="A6" s="89" t="s">
        <v>166</v>
      </c>
      <c r="B6" s="84">
        <v>250000000</v>
      </c>
      <c r="C6" s="84">
        <f xml:space="preserve"> B6 - (B6 * 0.16)</f>
        <v>210000000</v>
      </c>
      <c r="D6" s="85">
        <f xml:space="preserve"> B6 + (B6 * 0.16)</f>
        <v>290000000</v>
      </c>
    </row>
    <row r="8" spans="1:5" x14ac:dyDescent="0.2">
      <c r="A8" t="s">
        <v>167</v>
      </c>
    </row>
    <row r="10" spans="1:5" x14ac:dyDescent="0.2">
      <c r="A10" s="86" t="s">
        <v>408</v>
      </c>
    </row>
    <row r="11" spans="1:5" x14ac:dyDescent="0.2">
      <c r="A11" s="93">
        <v>67780000</v>
      </c>
    </row>
    <row r="13" spans="1:5" x14ac:dyDescent="0.2">
      <c r="A13" s="109" t="s">
        <v>191</v>
      </c>
      <c r="B13" s="105" t="s">
        <v>200</v>
      </c>
      <c r="C13" s="106"/>
    </row>
    <row r="14" spans="1:5" x14ac:dyDescent="0.2">
      <c r="A14" s="111" t="s">
        <v>190</v>
      </c>
      <c r="B14">
        <v>3.69</v>
      </c>
      <c r="C14" s="107"/>
    </row>
    <row r="15" spans="1:5" x14ac:dyDescent="0.2">
      <c r="A15" s="111" t="s">
        <v>194</v>
      </c>
      <c r="B15">
        <v>33.200000000000003</v>
      </c>
      <c r="C15" s="107"/>
    </row>
    <row r="16" spans="1:5" x14ac:dyDescent="0.2">
      <c r="A16" s="110" t="s">
        <v>195</v>
      </c>
      <c r="B16" s="5">
        <v>36.89</v>
      </c>
      <c r="C16" s="108"/>
    </row>
    <row r="18" spans="1:7" x14ac:dyDescent="0.2">
      <c r="A18" s="112" t="s">
        <v>201</v>
      </c>
      <c r="C18" s="112" t="s">
        <v>197</v>
      </c>
    </row>
    <row r="19" spans="1:7" x14ac:dyDescent="0.2">
      <c r="A19" s="104" t="s">
        <v>202</v>
      </c>
      <c r="B19" s="106" t="s">
        <v>199</v>
      </c>
    </row>
    <row r="20" spans="1:7" x14ac:dyDescent="0.2">
      <c r="A20" s="113" t="s">
        <v>196</v>
      </c>
      <c r="B20" s="107">
        <v>4.5999999999999996</v>
      </c>
    </row>
    <row r="21" spans="1:7" x14ac:dyDescent="0.2">
      <c r="A21" s="113" t="s">
        <v>198</v>
      </c>
      <c r="B21" s="107">
        <v>4.9000000000000004</v>
      </c>
    </row>
    <row r="22" spans="1:7" x14ac:dyDescent="0.2">
      <c r="A22" s="4" t="s">
        <v>203</v>
      </c>
      <c r="B22" s="108">
        <v>4.75</v>
      </c>
    </row>
    <row r="23" spans="1:7" x14ac:dyDescent="0.2">
      <c r="C23" s="112" t="s">
        <v>204</v>
      </c>
    </row>
    <row r="26" spans="1:7" x14ac:dyDescent="0.2">
      <c r="A26" s="104" t="s">
        <v>205</v>
      </c>
      <c r="B26" s="105" t="s">
        <v>192</v>
      </c>
      <c r="C26" s="106" t="s">
        <v>193</v>
      </c>
    </row>
    <row r="27" spans="1:7" x14ac:dyDescent="0.2">
      <c r="A27" s="3" t="s">
        <v>206</v>
      </c>
      <c r="B27">
        <v>17.623000000000001</v>
      </c>
      <c r="C27" s="107">
        <v>4.7500000000000001E-2</v>
      </c>
    </row>
    <row r="28" spans="1:7" x14ac:dyDescent="0.2">
      <c r="A28" s="4" t="s">
        <v>207</v>
      </c>
      <c r="B28" s="5">
        <v>158.65</v>
      </c>
      <c r="C28" s="108">
        <v>0.42749999999999999</v>
      </c>
    </row>
    <row r="30" spans="1:7" x14ac:dyDescent="0.2">
      <c r="A30" s="112" t="s">
        <v>215</v>
      </c>
    </row>
    <row r="31" spans="1:7" x14ac:dyDescent="0.2">
      <c r="A31" s="104" t="s">
        <v>208</v>
      </c>
      <c r="B31" s="105" t="s">
        <v>209</v>
      </c>
      <c r="C31" s="105" t="s">
        <v>210</v>
      </c>
      <c r="D31" s="105" t="s">
        <v>211</v>
      </c>
      <c r="E31" s="106" t="s">
        <v>406</v>
      </c>
      <c r="F31" s="81" t="s">
        <v>407</v>
      </c>
      <c r="G31" s="81"/>
    </row>
    <row r="32" spans="1:7" x14ac:dyDescent="0.2">
      <c r="A32" t="s">
        <v>214</v>
      </c>
      <c r="B32" t="s">
        <v>212</v>
      </c>
      <c r="C32" t="s">
        <v>213</v>
      </c>
      <c r="D32" t="s">
        <v>222</v>
      </c>
      <c r="E32" t="s">
        <v>224</v>
      </c>
      <c r="F32" t="s">
        <v>369</v>
      </c>
    </row>
    <row r="33" spans="1:6" x14ac:dyDescent="0.2">
      <c r="A33" t="s">
        <v>216</v>
      </c>
      <c r="B33" t="s">
        <v>218</v>
      </c>
      <c r="C33" t="s">
        <v>217</v>
      </c>
      <c r="D33" t="s">
        <v>223</v>
      </c>
      <c r="E33" t="s">
        <v>225</v>
      </c>
      <c r="F33" t="s">
        <v>370</v>
      </c>
    </row>
    <row r="34" spans="1:6" x14ac:dyDescent="0.2">
      <c r="A34" t="s">
        <v>219</v>
      </c>
      <c r="B34" t="s">
        <v>220</v>
      </c>
      <c r="C34" t="s">
        <v>221</v>
      </c>
      <c r="D34" t="s">
        <v>300</v>
      </c>
      <c r="E34" t="s">
        <v>226</v>
      </c>
      <c r="F34" t="s">
        <v>371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5B0979-E519-504D-A54C-958E86F5CAE0}">
  <dimension ref="A1:EU62"/>
  <sheetViews>
    <sheetView zoomScale="40" zoomScaleNormal="110" workbookViewId="0">
      <selection activeCell="C66" sqref="C66"/>
    </sheetView>
  </sheetViews>
  <sheetFormatPr baseColWidth="10" defaultRowHeight="16" x14ac:dyDescent="0.2"/>
  <cols>
    <col min="1" max="1" width="26.1640625" customWidth="1"/>
    <col min="2" max="2" width="25.1640625" customWidth="1"/>
    <col min="3" max="3" width="27.6640625" customWidth="1"/>
    <col min="4" max="4" width="25.83203125" customWidth="1"/>
    <col min="5" max="5" width="20" customWidth="1"/>
    <col min="6" max="6" width="30.6640625" customWidth="1"/>
    <col min="7" max="7" width="15.83203125" customWidth="1"/>
    <col min="8" max="8" width="7" customWidth="1"/>
    <col min="9" max="9" width="6" customWidth="1"/>
    <col min="10" max="10" width="43.83203125" customWidth="1"/>
    <col min="11" max="11" width="50.6640625" style="94" customWidth="1"/>
    <col min="12" max="13" width="29" customWidth="1"/>
    <col min="14" max="14" width="32" customWidth="1"/>
    <col min="15" max="15" width="17.1640625" customWidth="1"/>
    <col min="16" max="16" width="21.5" customWidth="1"/>
    <col min="17" max="17" width="19" customWidth="1"/>
    <col min="18" max="18" width="18" customWidth="1"/>
    <col min="19" max="19" width="17.5" customWidth="1"/>
    <col min="20" max="20" width="8.1640625" customWidth="1"/>
    <col min="21" max="21" width="33.6640625" customWidth="1"/>
    <col min="22" max="22" width="31.6640625" customWidth="1"/>
    <col min="23" max="23" width="19.33203125" customWidth="1"/>
    <col min="24" max="24" width="14.1640625" customWidth="1"/>
    <col min="25" max="25" width="14" customWidth="1"/>
    <col min="26" max="26" width="18.33203125" customWidth="1"/>
    <col min="27" max="27" width="18.6640625" customWidth="1"/>
    <col min="28" max="28" width="12.83203125" customWidth="1"/>
    <col min="29" max="29" width="7.5" customWidth="1"/>
    <col min="30" max="30" width="12.33203125" customWidth="1"/>
    <col min="31" max="31" width="7.33203125" customWidth="1"/>
    <col min="32" max="32" width="19.33203125" customWidth="1"/>
    <col min="33" max="33" width="10.6640625" customWidth="1"/>
    <col min="34" max="34" width="12.33203125" customWidth="1"/>
    <col min="35" max="35" width="8.1640625" customWidth="1"/>
    <col min="36" max="36" width="33.33203125" customWidth="1"/>
    <col min="37" max="37" width="29.6640625" customWidth="1"/>
    <col min="38" max="38" width="23.6640625" customWidth="1"/>
    <col min="39" max="39" width="18.1640625" customWidth="1"/>
    <col min="40" max="40" width="23.1640625" customWidth="1"/>
    <col min="41" max="41" width="13.83203125" customWidth="1"/>
    <col min="42" max="42" width="13.33203125" customWidth="1"/>
    <col min="43" max="43" width="20.1640625" customWidth="1"/>
    <col min="44" max="44" width="36.33203125" customWidth="1"/>
    <col min="45" max="45" width="34" customWidth="1"/>
    <col min="46" max="46" width="50.1640625" customWidth="1"/>
    <col min="47" max="47" width="42.6640625" customWidth="1"/>
    <col min="48" max="48" width="38" customWidth="1"/>
    <col min="49" max="49" width="22.83203125" customWidth="1"/>
    <col min="50" max="50" width="22" customWidth="1"/>
    <col min="51" max="51" width="22.1640625" customWidth="1"/>
    <col min="52" max="53" width="20.6640625" customWidth="1"/>
    <col min="54" max="54" width="6.5" customWidth="1"/>
    <col min="55" max="55" width="14.33203125" customWidth="1"/>
    <col min="56" max="56" width="18.83203125" customWidth="1"/>
    <col min="57" max="57" width="13.1640625" customWidth="1"/>
    <col min="59" max="59" width="12.83203125" customWidth="1"/>
    <col min="60" max="60" width="11.83203125" customWidth="1"/>
    <col min="61" max="61" width="16.1640625" customWidth="1"/>
    <col min="62" max="62" width="16.6640625" customWidth="1"/>
    <col min="63" max="66" width="14" customWidth="1"/>
    <col min="67" max="67" width="6.5" customWidth="1"/>
    <col min="68" max="68" width="29.33203125" customWidth="1"/>
    <col min="69" max="78" width="18.83203125" customWidth="1"/>
    <col min="79" max="79" width="23" customWidth="1"/>
    <col min="80" max="80" width="9.6640625" style="121" customWidth="1"/>
    <col min="81" max="81" width="29.1640625" customWidth="1"/>
    <col min="82" max="82" width="34.1640625" customWidth="1"/>
    <col min="83" max="83" width="10.5" style="27" customWidth="1"/>
    <col min="84" max="85" width="12.1640625" style="27" customWidth="1"/>
    <col min="86" max="86" width="14" style="27" customWidth="1"/>
    <col min="87" max="87" width="11.83203125" style="27" customWidth="1"/>
    <col min="88" max="88" width="9.83203125" style="27" customWidth="1"/>
    <col min="89" max="100" width="9.6640625" style="27" customWidth="1"/>
    <col min="101" max="101" width="9.5" style="121" customWidth="1"/>
    <col min="102" max="103" width="22.83203125" customWidth="1"/>
    <col min="104" max="104" width="20.33203125" style="27" customWidth="1"/>
    <col min="105" max="112" width="15.33203125" style="27" customWidth="1"/>
    <col min="113" max="113" width="18.33203125" style="27" customWidth="1"/>
    <col min="114" max="121" width="15.33203125" style="27" customWidth="1"/>
    <col min="122" max="122" width="9.5" style="121" customWidth="1"/>
    <col min="123" max="123" width="14.6640625" customWidth="1"/>
    <col min="124" max="124" width="15.83203125" customWidth="1"/>
    <col min="125" max="125" width="13.83203125" customWidth="1"/>
    <col min="126" max="126" width="16.5" customWidth="1"/>
    <col min="127" max="127" width="16" customWidth="1"/>
    <col min="128" max="128" width="13.83203125" customWidth="1"/>
    <col min="129" max="129" width="16.1640625" customWidth="1"/>
    <col min="130" max="130" width="16.6640625" customWidth="1"/>
    <col min="131" max="131" width="14.1640625" customWidth="1"/>
    <col min="132" max="132" width="6.5" customWidth="1"/>
    <col min="133" max="133" width="15.6640625" customWidth="1"/>
    <col min="134" max="134" width="14.33203125" customWidth="1"/>
    <col min="135" max="135" width="13.83203125" customWidth="1"/>
    <col min="136" max="136" width="14.5" customWidth="1"/>
    <col min="137" max="137" width="14.1640625" customWidth="1"/>
    <col min="138" max="138" width="11.83203125" customWidth="1"/>
    <col min="139" max="139" width="15.33203125" customWidth="1"/>
    <col min="140" max="140" width="16.5" customWidth="1"/>
    <col min="141" max="141" width="15.83203125" customWidth="1"/>
    <col min="142" max="142" width="19.83203125" customWidth="1"/>
    <col min="143" max="143" width="16.1640625" customWidth="1"/>
    <col min="144" max="145" width="15" customWidth="1"/>
    <col min="146" max="146" width="13.83203125" customWidth="1"/>
    <col min="147" max="147" width="12.6640625" customWidth="1"/>
    <col min="148" max="148" width="12.33203125" customWidth="1"/>
    <col min="149" max="149" width="13" customWidth="1"/>
    <col min="150" max="150" width="11.33203125" customWidth="1"/>
  </cols>
  <sheetData>
    <row r="1" spans="1:151" ht="34" x14ac:dyDescent="0.4">
      <c r="A1" s="14" t="s">
        <v>46</v>
      </c>
      <c r="B1" s="11"/>
      <c r="C1" s="11"/>
      <c r="D1" s="11"/>
      <c r="E1" s="11"/>
      <c r="F1" s="11"/>
      <c r="G1" s="11" t="s">
        <v>22</v>
      </c>
      <c r="H1" s="31"/>
      <c r="I1" s="32"/>
      <c r="J1" s="12" t="s">
        <v>401</v>
      </c>
      <c r="K1" s="234"/>
      <c r="L1" s="11"/>
      <c r="M1" s="39" t="s">
        <v>398</v>
      </c>
      <c r="N1" s="66" t="s">
        <v>133</v>
      </c>
      <c r="O1" s="11"/>
      <c r="P1" s="43" t="s">
        <v>132</v>
      </c>
      <c r="Q1" s="11" t="s">
        <v>393</v>
      </c>
      <c r="R1" s="11"/>
      <c r="S1" s="11"/>
      <c r="T1" s="11"/>
      <c r="U1" s="98" t="s">
        <v>181</v>
      </c>
      <c r="V1" s="99"/>
      <c r="W1" s="99" t="s">
        <v>189</v>
      </c>
      <c r="X1" s="99"/>
      <c r="Y1" s="99"/>
      <c r="Z1" s="99"/>
      <c r="AA1" s="99"/>
      <c r="AB1" s="99"/>
      <c r="AC1" s="99" t="s">
        <v>392</v>
      </c>
      <c r="AD1" s="99"/>
      <c r="AE1" s="99"/>
      <c r="AF1" s="11"/>
      <c r="AG1" s="11"/>
      <c r="AH1" s="11"/>
      <c r="AI1" s="11"/>
      <c r="AJ1" s="65" t="s">
        <v>123</v>
      </c>
      <c r="AK1" s="11"/>
      <c r="AL1" s="11"/>
      <c r="AM1" s="11"/>
      <c r="AN1" s="11"/>
      <c r="AO1" s="11">
        <v>69.61</v>
      </c>
      <c r="AP1" s="44"/>
      <c r="AQ1" s="44"/>
      <c r="AR1" s="11"/>
      <c r="AS1" s="11"/>
      <c r="AT1" s="11"/>
      <c r="AU1" s="44"/>
      <c r="AV1" s="44"/>
      <c r="AW1" s="11"/>
      <c r="AX1" s="11"/>
      <c r="AY1" s="11"/>
      <c r="AZ1" s="44"/>
      <c r="BA1" s="44"/>
      <c r="BB1" s="11"/>
      <c r="BC1" s="61" t="s">
        <v>83</v>
      </c>
      <c r="BD1" s="11"/>
      <c r="BE1" s="11"/>
      <c r="BF1" s="11"/>
      <c r="BG1" s="11"/>
      <c r="BH1" s="11"/>
      <c r="BI1" s="11"/>
      <c r="BJ1" s="11"/>
      <c r="BK1" s="11"/>
      <c r="BL1" s="11"/>
      <c r="BM1" s="11"/>
      <c r="BN1" s="63"/>
      <c r="BO1" s="11"/>
      <c r="BP1" s="43" t="s">
        <v>233</v>
      </c>
      <c r="BQ1" s="11"/>
      <c r="BR1" s="11"/>
      <c r="BS1" s="11"/>
      <c r="BT1" s="11"/>
      <c r="BU1" s="11"/>
      <c r="BV1" s="11"/>
      <c r="BW1" s="11"/>
      <c r="BX1" s="11"/>
      <c r="BY1" s="11"/>
      <c r="BZ1" s="11"/>
      <c r="CA1" s="11"/>
      <c r="CC1" s="164" t="s">
        <v>291</v>
      </c>
      <c r="CD1" s="11"/>
      <c r="CE1" s="139"/>
      <c r="CF1" s="139"/>
      <c r="CG1" s="139"/>
      <c r="CH1" s="139"/>
      <c r="CI1" s="139"/>
      <c r="CJ1" s="139"/>
      <c r="CK1" s="139"/>
      <c r="CL1" s="139"/>
      <c r="CM1" s="139"/>
      <c r="CN1" s="139"/>
      <c r="CO1" s="139"/>
      <c r="CP1" s="139"/>
      <c r="CQ1" s="139"/>
      <c r="CR1" s="139"/>
      <c r="CS1" s="139"/>
      <c r="CT1" s="139"/>
      <c r="CU1" s="139"/>
      <c r="CV1" s="139"/>
      <c r="CX1" s="164" t="s">
        <v>329</v>
      </c>
      <c r="CY1" s="164"/>
      <c r="CZ1" s="139"/>
      <c r="DA1" s="139"/>
      <c r="DB1" s="139"/>
      <c r="DC1" s="139"/>
      <c r="DD1" s="139"/>
      <c r="DE1" s="139"/>
      <c r="DF1" s="139"/>
      <c r="DG1" s="139"/>
      <c r="DH1" s="139"/>
      <c r="DI1" s="139"/>
      <c r="DJ1" s="139"/>
      <c r="DK1" s="139"/>
      <c r="DL1" s="139"/>
      <c r="DM1" s="139"/>
      <c r="DN1" s="139"/>
      <c r="DO1" s="139"/>
      <c r="DP1" s="139"/>
      <c r="DQ1" s="139"/>
      <c r="DS1" s="120" t="s">
        <v>180</v>
      </c>
      <c r="DT1" s="11"/>
      <c r="DU1" s="11"/>
      <c r="DV1" s="51"/>
      <c r="DW1" s="11"/>
      <c r="DX1" s="39"/>
      <c r="DY1" s="39"/>
      <c r="DZ1" s="39"/>
      <c r="EA1" s="39"/>
      <c r="EB1" s="121"/>
      <c r="EC1" s="120" t="s">
        <v>375</v>
      </c>
      <c r="ED1" s="11"/>
      <c r="EE1" s="11"/>
      <c r="EF1" s="51"/>
      <c r="EG1" s="11"/>
      <c r="EH1" s="39"/>
      <c r="EI1" s="39"/>
      <c r="EJ1" s="39"/>
      <c r="EK1" s="194"/>
      <c r="EL1" s="120" t="s">
        <v>375</v>
      </c>
      <c r="EM1" s="11"/>
      <c r="EN1" s="11"/>
      <c r="EO1" s="51"/>
      <c r="EP1" s="11"/>
      <c r="EQ1" s="39"/>
      <c r="ER1" s="39"/>
      <c r="ES1" s="39"/>
      <c r="ET1" s="194"/>
    </row>
    <row r="2" spans="1:151" ht="19" x14ac:dyDescent="0.25">
      <c r="A2" s="26"/>
      <c r="H2" s="20"/>
      <c r="I2" s="21"/>
      <c r="J2" s="6" t="s">
        <v>94</v>
      </c>
      <c r="K2" s="235"/>
      <c r="L2" s="7"/>
      <c r="M2" s="38" t="s">
        <v>399</v>
      </c>
      <c r="N2" s="7" t="s">
        <v>95</v>
      </c>
      <c r="O2" s="7" t="s">
        <v>96</v>
      </c>
      <c r="P2" s="7" t="s">
        <v>97</v>
      </c>
      <c r="Q2" s="7" t="s">
        <v>101</v>
      </c>
      <c r="R2" s="7" t="s">
        <v>96</v>
      </c>
      <c r="S2" s="7" t="s">
        <v>102</v>
      </c>
      <c r="T2" s="16"/>
      <c r="U2" s="102" t="s">
        <v>185</v>
      </c>
      <c r="V2" s="62"/>
      <c r="W2" s="62" t="s">
        <v>183</v>
      </c>
      <c r="X2" s="62"/>
      <c r="Y2" s="62"/>
      <c r="Z2" s="62" t="s">
        <v>187</v>
      </c>
      <c r="AA2" s="62"/>
      <c r="AB2" s="62"/>
      <c r="AC2" s="62" t="s">
        <v>183</v>
      </c>
      <c r="AD2" s="62"/>
      <c r="AE2" s="62"/>
      <c r="AF2" s="62" t="s">
        <v>187</v>
      </c>
      <c r="AG2" s="62"/>
      <c r="AH2" s="62"/>
      <c r="AI2" s="101"/>
      <c r="AJ2" s="64" t="s">
        <v>86</v>
      </c>
      <c r="AK2" s="37"/>
      <c r="AL2" s="37"/>
      <c r="AM2" s="37" t="s">
        <v>379</v>
      </c>
      <c r="AN2" s="37" t="s">
        <v>379</v>
      </c>
      <c r="AO2" s="37" t="s">
        <v>379</v>
      </c>
      <c r="AP2" s="37" t="s">
        <v>394</v>
      </c>
      <c r="AQ2" s="37" t="s">
        <v>394</v>
      </c>
      <c r="AR2" s="37" t="s">
        <v>380</v>
      </c>
      <c r="AS2" s="37" t="s">
        <v>380</v>
      </c>
      <c r="AT2" s="37" t="s">
        <v>380</v>
      </c>
      <c r="AU2" s="37" t="s">
        <v>395</v>
      </c>
      <c r="AV2" s="37" t="s">
        <v>381</v>
      </c>
      <c r="AW2" s="37" t="s">
        <v>382</v>
      </c>
      <c r="AX2" s="37" t="s">
        <v>383</v>
      </c>
      <c r="AY2" s="37" t="s">
        <v>382</v>
      </c>
      <c r="AZ2" s="37" t="s">
        <v>384</v>
      </c>
      <c r="BA2" s="37" t="s">
        <v>384</v>
      </c>
      <c r="BB2" s="58"/>
      <c r="BC2" s="7" t="s">
        <v>232</v>
      </c>
      <c r="BD2" s="7"/>
      <c r="BE2" s="7"/>
      <c r="BF2" s="7" t="s">
        <v>385</v>
      </c>
      <c r="BG2" s="7"/>
      <c r="BH2" s="7"/>
      <c r="BI2" s="49" t="s">
        <v>386</v>
      </c>
      <c r="BJ2" s="7"/>
      <c r="BK2" s="7"/>
      <c r="BL2" s="6" t="s">
        <v>387</v>
      </c>
      <c r="BM2" s="7"/>
      <c r="BN2" s="62"/>
      <c r="BO2" s="114"/>
      <c r="BP2" s="7" t="s">
        <v>231</v>
      </c>
      <c r="BQ2" s="7"/>
      <c r="BR2" s="7"/>
      <c r="BS2" s="7" t="s">
        <v>385</v>
      </c>
      <c r="BT2" s="7"/>
      <c r="BU2" s="7"/>
      <c r="BV2" s="49" t="s">
        <v>386</v>
      </c>
      <c r="BW2" s="7"/>
      <c r="BX2" s="7"/>
      <c r="BY2" s="6" t="s">
        <v>387</v>
      </c>
      <c r="BZ2" s="7"/>
      <c r="CA2" s="62"/>
      <c r="CB2" s="122"/>
      <c r="CC2" s="154" t="s">
        <v>290</v>
      </c>
      <c r="CD2" s="165"/>
      <c r="CE2" s="168" t="s">
        <v>388</v>
      </c>
      <c r="CF2" s="168"/>
      <c r="CG2" s="168"/>
      <c r="CH2" s="168"/>
      <c r="CI2" s="168"/>
      <c r="CJ2" s="170"/>
      <c r="CK2" s="168" t="s">
        <v>389</v>
      </c>
      <c r="CL2" s="168"/>
      <c r="CM2" s="168"/>
      <c r="CN2" s="168"/>
      <c r="CO2" s="168"/>
      <c r="CP2" s="170"/>
      <c r="CQ2" s="168" t="s">
        <v>390</v>
      </c>
      <c r="CR2" s="168"/>
      <c r="CS2" s="168"/>
      <c r="CT2" s="168"/>
      <c r="CU2" s="168"/>
      <c r="CV2" s="168"/>
      <c r="CW2" s="122"/>
      <c r="CX2" s="168" t="s">
        <v>306</v>
      </c>
      <c r="CY2" s="168"/>
      <c r="CZ2" s="168" t="s">
        <v>311</v>
      </c>
      <c r="DA2" s="168"/>
      <c r="DB2" s="168"/>
      <c r="DC2" s="168"/>
      <c r="DD2" s="168"/>
      <c r="DE2" s="168"/>
      <c r="DF2" s="168"/>
      <c r="DG2" s="168"/>
      <c r="DH2" s="170"/>
      <c r="DI2" s="168" t="s">
        <v>391</v>
      </c>
      <c r="DJ2" s="168"/>
      <c r="DK2" s="168"/>
      <c r="DL2" s="168"/>
      <c r="DM2" s="168"/>
      <c r="DN2" s="168"/>
      <c r="DO2" s="168"/>
      <c r="DP2" s="168"/>
      <c r="DQ2" s="168"/>
      <c r="DR2" s="122"/>
      <c r="DS2" s="60" t="s">
        <v>105</v>
      </c>
      <c r="DT2" s="8"/>
      <c r="DU2" s="8"/>
      <c r="DV2" s="57" t="s">
        <v>104</v>
      </c>
      <c r="DW2" s="8"/>
      <c r="DX2" s="40"/>
      <c r="DY2" s="52" t="s">
        <v>108</v>
      </c>
      <c r="DZ2" s="50"/>
      <c r="EA2" s="50"/>
      <c r="EB2" s="122"/>
      <c r="EC2" s="60" t="s">
        <v>293</v>
      </c>
      <c r="ED2" s="8"/>
      <c r="EE2" s="8"/>
      <c r="EF2" s="57" t="s">
        <v>104</v>
      </c>
      <c r="EG2" s="8"/>
      <c r="EH2" s="40"/>
      <c r="EI2" s="52" t="s">
        <v>108</v>
      </c>
      <c r="EJ2" s="50"/>
      <c r="EK2" s="195"/>
      <c r="EL2" s="60" t="s">
        <v>293</v>
      </c>
      <c r="EM2" s="8"/>
      <c r="EN2" s="8"/>
      <c r="EO2" s="57" t="s">
        <v>104</v>
      </c>
      <c r="EP2" s="8"/>
      <c r="EQ2" s="40"/>
      <c r="ER2" s="52" t="s">
        <v>108</v>
      </c>
      <c r="ES2" s="50"/>
      <c r="ET2" s="195"/>
    </row>
    <row r="3" spans="1:151" x14ac:dyDescent="0.2">
      <c r="A3" s="15" t="s">
        <v>0</v>
      </c>
      <c r="B3" s="15" t="s">
        <v>9</v>
      </c>
      <c r="C3" s="15" t="s">
        <v>2</v>
      </c>
      <c r="D3" s="15" t="s">
        <v>1</v>
      </c>
      <c r="E3" s="15" t="s">
        <v>3</v>
      </c>
      <c r="F3" s="15" t="s">
        <v>6</v>
      </c>
      <c r="G3" s="15" t="s">
        <v>5</v>
      </c>
      <c r="H3" s="22"/>
      <c r="I3" s="23"/>
      <c r="J3" s="9" t="s">
        <v>74</v>
      </c>
      <c r="K3" s="236" t="s">
        <v>129</v>
      </c>
      <c r="L3" s="9" t="s">
        <v>1</v>
      </c>
      <c r="M3" s="239"/>
      <c r="N3" s="10"/>
      <c r="O3" s="10" t="s">
        <v>76</v>
      </c>
      <c r="P3" s="10" t="s">
        <v>99</v>
      </c>
      <c r="Q3" s="10" t="s">
        <v>100</v>
      </c>
      <c r="R3" s="10" t="s">
        <v>100</v>
      </c>
      <c r="S3" s="10" t="s">
        <v>100</v>
      </c>
      <c r="T3" s="17"/>
      <c r="U3" s="103" t="s">
        <v>182</v>
      </c>
      <c r="V3" s="103" t="s">
        <v>184</v>
      </c>
      <c r="W3" s="100" t="s">
        <v>101</v>
      </c>
      <c r="X3" s="100" t="s">
        <v>96</v>
      </c>
      <c r="Y3" s="100" t="s">
        <v>102</v>
      </c>
      <c r="Z3" s="100" t="s">
        <v>101</v>
      </c>
      <c r="AA3" s="100" t="s">
        <v>96</v>
      </c>
      <c r="AB3" s="100" t="s">
        <v>102</v>
      </c>
      <c r="AC3" s="100" t="s">
        <v>101</v>
      </c>
      <c r="AD3" s="100" t="s">
        <v>96</v>
      </c>
      <c r="AE3" s="100" t="s">
        <v>102</v>
      </c>
      <c r="AF3" s="100" t="s">
        <v>101</v>
      </c>
      <c r="AG3" s="100" t="s">
        <v>96</v>
      </c>
      <c r="AH3" s="100" t="s">
        <v>102</v>
      </c>
      <c r="AI3" s="17"/>
      <c r="AJ3" s="10" t="s">
        <v>85</v>
      </c>
      <c r="AK3" s="10" t="s">
        <v>89</v>
      </c>
      <c r="AL3" s="10" t="s">
        <v>90</v>
      </c>
      <c r="AM3" s="10" t="s">
        <v>352</v>
      </c>
      <c r="AN3" s="10" t="s">
        <v>353</v>
      </c>
      <c r="AO3" s="10" t="s">
        <v>110</v>
      </c>
      <c r="AP3" s="10" t="s">
        <v>91</v>
      </c>
      <c r="AQ3" s="10" t="s">
        <v>92</v>
      </c>
      <c r="AR3" s="10" t="s">
        <v>354</v>
      </c>
      <c r="AS3" s="10" t="s">
        <v>355</v>
      </c>
      <c r="AT3" s="10" t="s">
        <v>111</v>
      </c>
      <c r="AU3" s="10" t="s">
        <v>91</v>
      </c>
      <c r="AV3" s="10" t="s">
        <v>92</v>
      </c>
      <c r="AW3" s="10" t="s">
        <v>354</v>
      </c>
      <c r="AX3" s="10" t="s">
        <v>356</v>
      </c>
      <c r="AY3" s="10" t="s">
        <v>111</v>
      </c>
      <c r="AZ3" s="10" t="s">
        <v>114</v>
      </c>
      <c r="BA3" s="10" t="s">
        <v>115</v>
      </c>
      <c r="BB3" s="58"/>
      <c r="BC3" s="9" t="s">
        <v>77</v>
      </c>
      <c r="BD3" s="9" t="s">
        <v>78</v>
      </c>
      <c r="BE3" s="9" t="s">
        <v>79</v>
      </c>
      <c r="BF3" s="45" t="s">
        <v>117</v>
      </c>
      <c r="BG3" s="10" t="s">
        <v>121</v>
      </c>
      <c r="BH3" s="10" t="s">
        <v>122</v>
      </c>
      <c r="BI3" s="45" t="s">
        <v>117</v>
      </c>
      <c r="BJ3" s="10" t="s">
        <v>121</v>
      </c>
      <c r="BK3" s="10" t="s">
        <v>122</v>
      </c>
      <c r="BL3" s="46" t="s">
        <v>117</v>
      </c>
      <c r="BM3" s="10" t="s">
        <v>121</v>
      </c>
      <c r="BN3" s="10" t="s">
        <v>122</v>
      </c>
      <c r="BO3" s="115"/>
      <c r="BP3" s="9" t="s">
        <v>77</v>
      </c>
      <c r="BQ3" s="9" t="s">
        <v>78</v>
      </c>
      <c r="BR3" s="9" t="s">
        <v>79</v>
      </c>
      <c r="BS3" s="45" t="s">
        <v>117</v>
      </c>
      <c r="BT3" s="10" t="s">
        <v>121</v>
      </c>
      <c r="BU3" s="10" t="s">
        <v>122</v>
      </c>
      <c r="BV3" s="45" t="s">
        <v>117</v>
      </c>
      <c r="BW3" s="10" t="s">
        <v>121</v>
      </c>
      <c r="BX3" s="10" t="s">
        <v>122</v>
      </c>
      <c r="BY3" s="46" t="s">
        <v>117</v>
      </c>
      <c r="BZ3" s="10" t="s">
        <v>121</v>
      </c>
      <c r="CA3" s="10" t="s">
        <v>122</v>
      </c>
      <c r="CB3" s="123"/>
      <c r="CC3" s="9" t="s">
        <v>277</v>
      </c>
      <c r="CD3" s="166" t="s">
        <v>278</v>
      </c>
      <c r="CE3" s="168" t="s">
        <v>117</v>
      </c>
      <c r="CF3" s="168" t="s">
        <v>117</v>
      </c>
      <c r="CG3" s="168" t="s">
        <v>121</v>
      </c>
      <c r="CH3" s="168" t="s">
        <v>121</v>
      </c>
      <c r="CI3" s="168" t="s">
        <v>122</v>
      </c>
      <c r="CJ3" s="170" t="s">
        <v>122</v>
      </c>
      <c r="CK3" s="168" t="s">
        <v>117</v>
      </c>
      <c r="CL3" s="168" t="s">
        <v>117</v>
      </c>
      <c r="CM3" s="168" t="s">
        <v>121</v>
      </c>
      <c r="CN3" s="168" t="s">
        <v>121</v>
      </c>
      <c r="CO3" s="168" t="s">
        <v>122</v>
      </c>
      <c r="CP3" s="170" t="s">
        <v>122</v>
      </c>
      <c r="CQ3" s="168" t="s">
        <v>117</v>
      </c>
      <c r="CR3" s="168" t="s">
        <v>117</v>
      </c>
      <c r="CS3" s="168" t="s">
        <v>121</v>
      </c>
      <c r="CT3" s="168" t="s">
        <v>121</v>
      </c>
      <c r="CU3" s="168" t="s">
        <v>122</v>
      </c>
      <c r="CV3" s="168" t="s">
        <v>122</v>
      </c>
      <c r="CW3" s="123"/>
      <c r="CX3" s="9" t="s">
        <v>307</v>
      </c>
      <c r="CY3" s="9" t="s">
        <v>308</v>
      </c>
      <c r="CZ3" s="168" t="s">
        <v>105</v>
      </c>
      <c r="DA3" s="168"/>
      <c r="DB3" s="168"/>
      <c r="DC3" s="168" t="s">
        <v>104</v>
      </c>
      <c r="DD3" s="168"/>
      <c r="DE3" s="168"/>
      <c r="DF3" s="168" t="s">
        <v>108</v>
      </c>
      <c r="DG3" s="168"/>
      <c r="DH3" s="170"/>
      <c r="DI3" s="168" t="s">
        <v>105</v>
      </c>
      <c r="DJ3" s="168"/>
      <c r="DK3" s="168"/>
      <c r="DL3" s="168" t="s">
        <v>104</v>
      </c>
      <c r="DM3" s="168"/>
      <c r="DN3" s="168"/>
      <c r="DO3" s="168" t="s">
        <v>108</v>
      </c>
      <c r="DP3" s="168"/>
      <c r="DQ3" s="170"/>
      <c r="DR3" s="123"/>
      <c r="DS3" s="10" t="s">
        <v>80</v>
      </c>
      <c r="DT3" s="10" t="s">
        <v>81</v>
      </c>
      <c r="DU3" s="41" t="s">
        <v>82</v>
      </c>
      <c r="DV3" s="46" t="s">
        <v>80</v>
      </c>
      <c r="DW3" s="10" t="s">
        <v>81</v>
      </c>
      <c r="DX3" s="41" t="s">
        <v>82</v>
      </c>
      <c r="DY3" s="46" t="s">
        <v>80</v>
      </c>
      <c r="DZ3" s="10" t="s">
        <v>81</v>
      </c>
      <c r="EA3" s="41" t="s">
        <v>82</v>
      </c>
      <c r="EB3" s="123"/>
      <c r="EC3" s="10" t="s">
        <v>316</v>
      </c>
      <c r="ED3" s="10"/>
      <c r="EE3" s="41"/>
      <c r="EF3" s="46" t="s">
        <v>315</v>
      </c>
      <c r="EG3" s="10"/>
      <c r="EH3" s="41"/>
      <c r="EI3" s="46" t="s">
        <v>315</v>
      </c>
      <c r="EJ3" s="10"/>
      <c r="EK3" s="196"/>
      <c r="EL3" s="10" t="s">
        <v>317</v>
      </c>
      <c r="EM3" s="10"/>
      <c r="EN3" s="41"/>
      <c r="EO3" s="46" t="s">
        <v>314</v>
      </c>
      <c r="EP3" s="10"/>
      <c r="EQ3" s="41"/>
      <c r="ER3" s="46" t="s">
        <v>314</v>
      </c>
      <c r="ES3" s="10"/>
      <c r="ET3" s="196"/>
      <c r="EU3" s="1"/>
    </row>
    <row r="4" spans="1:151" ht="19" x14ac:dyDescent="0.25">
      <c r="A4" s="24" t="s">
        <v>75</v>
      </c>
      <c r="B4" s="25"/>
      <c r="C4" s="25"/>
      <c r="D4" s="25"/>
      <c r="E4" s="25"/>
      <c r="F4" s="25"/>
      <c r="G4" s="25"/>
      <c r="H4" s="22"/>
      <c r="I4" s="23"/>
      <c r="J4" s="9"/>
      <c r="K4" s="236" t="s">
        <v>130</v>
      </c>
      <c r="L4" s="9"/>
      <c r="M4" s="239"/>
      <c r="N4" s="10"/>
      <c r="O4" s="10" t="s">
        <v>378</v>
      </c>
      <c r="P4" s="10" t="s">
        <v>378</v>
      </c>
      <c r="Q4" s="10"/>
      <c r="R4" s="10"/>
      <c r="S4" s="10"/>
      <c r="T4" s="17"/>
      <c r="U4" s="103" t="s">
        <v>186</v>
      </c>
      <c r="V4" s="103"/>
      <c r="W4" s="10" t="s">
        <v>378</v>
      </c>
      <c r="X4" s="10" t="s">
        <v>378</v>
      </c>
      <c r="Y4" s="10" t="s">
        <v>378</v>
      </c>
      <c r="Z4" s="10" t="s">
        <v>378</v>
      </c>
      <c r="AA4" s="10" t="s">
        <v>378</v>
      </c>
      <c r="AB4" s="10" t="s">
        <v>378</v>
      </c>
      <c r="AC4" s="10"/>
      <c r="AD4" s="10"/>
      <c r="AE4" s="10"/>
      <c r="AF4" s="10"/>
      <c r="AG4" s="10"/>
      <c r="AH4" s="10"/>
      <c r="AI4" s="17"/>
      <c r="AJ4" s="10"/>
      <c r="AK4" s="10" t="s">
        <v>88</v>
      </c>
      <c r="AL4" s="10"/>
      <c r="AM4" s="10"/>
      <c r="AN4" s="232">
        <v>-0.5</v>
      </c>
      <c r="AO4" s="10"/>
      <c r="AP4" s="10"/>
      <c r="AQ4" s="10"/>
      <c r="AR4" s="10"/>
      <c r="AS4" s="10"/>
      <c r="AT4" s="10"/>
      <c r="AU4" s="10"/>
      <c r="AV4" s="10"/>
      <c r="AW4" s="10"/>
      <c r="AX4" s="10"/>
      <c r="AY4" s="10"/>
      <c r="AZ4" s="10"/>
      <c r="BA4" s="10"/>
      <c r="BB4" s="17"/>
      <c r="BC4" s="9"/>
      <c r="BD4" s="9"/>
      <c r="BE4" s="9"/>
      <c r="BF4" s="46"/>
      <c r="BG4" s="10"/>
      <c r="BH4" s="10"/>
      <c r="BI4" s="46"/>
      <c r="BJ4" s="10"/>
      <c r="BK4" s="10"/>
      <c r="BL4" s="46"/>
      <c r="BM4" s="10"/>
      <c r="BN4" s="10"/>
      <c r="BO4" s="116"/>
      <c r="BP4" s="124">
        <v>0.88480000000000003</v>
      </c>
      <c r="BQ4" s="124">
        <v>0.94579999999999997</v>
      </c>
      <c r="BR4" s="124">
        <v>0.97699999999999998</v>
      </c>
      <c r="BS4" s="46"/>
      <c r="BT4" s="10"/>
      <c r="BU4" s="10"/>
      <c r="BV4" s="46"/>
      <c r="BW4" s="10"/>
      <c r="BX4" s="10"/>
      <c r="BY4" s="46"/>
      <c r="BZ4" s="10"/>
      <c r="CA4" s="10"/>
      <c r="CB4" s="123"/>
      <c r="CC4" s="124">
        <v>0.68</v>
      </c>
      <c r="CD4" s="167">
        <v>0.32</v>
      </c>
      <c r="CE4" s="168" t="s">
        <v>281</v>
      </c>
      <c r="CF4" s="168" t="s">
        <v>283</v>
      </c>
      <c r="CG4" s="168" t="s">
        <v>281</v>
      </c>
      <c r="CH4" s="168" t="s">
        <v>283</v>
      </c>
      <c r="CI4" s="168" t="s">
        <v>281</v>
      </c>
      <c r="CJ4" s="170" t="s">
        <v>283</v>
      </c>
      <c r="CK4" s="168" t="s">
        <v>281</v>
      </c>
      <c r="CL4" s="168" t="s">
        <v>283</v>
      </c>
      <c r="CM4" s="168" t="s">
        <v>281</v>
      </c>
      <c r="CN4" s="168" t="s">
        <v>283</v>
      </c>
      <c r="CO4" s="168" t="s">
        <v>281</v>
      </c>
      <c r="CP4" s="170" t="s">
        <v>283</v>
      </c>
      <c r="CQ4" s="168" t="s">
        <v>281</v>
      </c>
      <c r="CR4" s="168" t="s">
        <v>283</v>
      </c>
      <c r="CS4" s="168" t="s">
        <v>281</v>
      </c>
      <c r="CT4" s="168" t="s">
        <v>283</v>
      </c>
      <c r="CU4" s="168" t="s">
        <v>281</v>
      </c>
      <c r="CV4" s="168" t="s">
        <v>283</v>
      </c>
      <c r="CW4" s="123"/>
      <c r="CX4" s="124" t="s">
        <v>297</v>
      </c>
      <c r="CY4" s="124" t="s">
        <v>310</v>
      </c>
      <c r="CZ4" s="168" t="s">
        <v>117</v>
      </c>
      <c r="DA4" s="168" t="s">
        <v>121</v>
      </c>
      <c r="DB4" s="168" t="s">
        <v>122</v>
      </c>
      <c r="DC4" s="168" t="s">
        <v>117</v>
      </c>
      <c r="DD4" s="168" t="s">
        <v>121</v>
      </c>
      <c r="DE4" s="168" t="s">
        <v>122</v>
      </c>
      <c r="DF4" s="168" t="s">
        <v>117</v>
      </c>
      <c r="DG4" s="168" t="s">
        <v>121</v>
      </c>
      <c r="DH4" s="170" t="s">
        <v>122</v>
      </c>
      <c r="DI4" s="168" t="s">
        <v>117</v>
      </c>
      <c r="DJ4" s="168" t="s">
        <v>121</v>
      </c>
      <c r="DK4" s="168" t="s">
        <v>122</v>
      </c>
      <c r="DL4" s="168" t="s">
        <v>117</v>
      </c>
      <c r="DM4" s="168" t="s">
        <v>121</v>
      </c>
      <c r="DN4" s="168" t="s">
        <v>122</v>
      </c>
      <c r="DO4" s="168" t="s">
        <v>117</v>
      </c>
      <c r="DP4" s="168" t="s">
        <v>121</v>
      </c>
      <c r="DQ4" s="170" t="s">
        <v>122</v>
      </c>
      <c r="DR4" s="123"/>
      <c r="DS4" s="10"/>
      <c r="DT4" s="10"/>
      <c r="DU4" s="10"/>
      <c r="DV4" s="46"/>
      <c r="DW4" s="10"/>
      <c r="DX4" s="41"/>
      <c r="DY4" s="53"/>
      <c r="DZ4" s="41"/>
      <c r="EA4" s="41"/>
      <c r="EB4" s="123"/>
      <c r="EC4" s="10" t="s">
        <v>80</v>
      </c>
      <c r="ED4" s="10" t="s">
        <v>81</v>
      </c>
      <c r="EE4" s="41" t="s">
        <v>82</v>
      </c>
      <c r="EF4" s="46" t="s">
        <v>80</v>
      </c>
      <c r="EG4" s="10" t="s">
        <v>81</v>
      </c>
      <c r="EH4" s="41" t="s">
        <v>82</v>
      </c>
      <c r="EI4" s="46" t="s">
        <v>80</v>
      </c>
      <c r="EJ4" s="10" t="s">
        <v>81</v>
      </c>
      <c r="EK4" s="196" t="s">
        <v>82</v>
      </c>
      <c r="EL4" s="10" t="s">
        <v>80</v>
      </c>
      <c r="EM4" s="10" t="s">
        <v>81</v>
      </c>
      <c r="EN4" s="41" t="s">
        <v>82</v>
      </c>
      <c r="EO4" s="46" t="s">
        <v>80</v>
      </c>
      <c r="EP4" s="10" t="s">
        <v>81</v>
      </c>
      <c r="EQ4" s="41" t="s">
        <v>82</v>
      </c>
      <c r="ER4" s="46" t="s">
        <v>80</v>
      </c>
      <c r="ES4" s="10" t="s">
        <v>81</v>
      </c>
      <c r="ET4" s="196" t="s">
        <v>82</v>
      </c>
      <c r="EU4" s="1"/>
    </row>
    <row r="5" spans="1:151" x14ac:dyDescent="0.2">
      <c r="A5" s="3" t="s">
        <v>4</v>
      </c>
      <c r="B5">
        <v>1168</v>
      </c>
      <c r="C5">
        <v>23</v>
      </c>
      <c r="D5">
        <v>1.67</v>
      </c>
      <c r="E5">
        <v>0.13</v>
      </c>
      <c r="F5" t="s">
        <v>7</v>
      </c>
      <c r="G5" t="s">
        <v>124</v>
      </c>
      <c r="H5" s="20"/>
      <c r="I5" s="21"/>
      <c r="J5">
        <v>152</v>
      </c>
      <c r="K5" s="94">
        <v>104.05</v>
      </c>
      <c r="L5">
        <v>1.67</v>
      </c>
      <c r="M5" s="38">
        <v>253.84</v>
      </c>
      <c r="N5" s="27"/>
      <c r="O5" s="27">
        <f t="shared" ref="O5:O22" si="0">J5*K5*L5</f>
        <v>26412.052</v>
      </c>
      <c r="P5" s="27"/>
      <c r="Q5" s="27"/>
      <c r="R5" s="27">
        <f>O5+O6+O7+O8+O9+O10+O11+O12+O13+O14+O15+O16+O17+O18+O19+O20+O21+O22</f>
        <v>525585.68400000001</v>
      </c>
      <c r="S5" s="27"/>
      <c r="T5" s="18"/>
      <c r="U5">
        <v>2.3999999999999998E-3</v>
      </c>
      <c r="V5">
        <v>0.99760000000000004</v>
      </c>
      <c r="W5" s="94"/>
      <c r="X5" s="94">
        <f xml:space="preserve"> O5 * U5</f>
        <v>63.388924799999991</v>
      </c>
      <c r="Y5" s="94"/>
      <c r="Z5" s="94"/>
      <c r="AA5" s="94">
        <f xml:space="preserve"> O5 * V5</f>
        <v>26348.663075200002</v>
      </c>
      <c r="AB5" s="94"/>
      <c r="AC5" s="27"/>
      <c r="AD5" s="27">
        <f xml:space="preserve"> R5 * U5</f>
        <v>1261.4056415999999</v>
      </c>
      <c r="AE5" s="27"/>
      <c r="AF5" s="27"/>
      <c r="AG5" s="27">
        <f xml:space="preserve"> R5 * V5</f>
        <v>524324.27835839998</v>
      </c>
      <c r="AH5" s="27"/>
      <c r="AI5" s="18"/>
      <c r="AJ5">
        <v>160</v>
      </c>
      <c r="AK5" s="34">
        <f>$AJ5/8760</f>
        <v>1.8264840182648401E-2</v>
      </c>
      <c r="AL5" s="34">
        <f t="shared" ref="AL5:AL22" si="1">1- AK5</f>
        <v>0.9817351598173516</v>
      </c>
      <c r="AM5" s="94"/>
      <c r="AN5" s="94"/>
      <c r="AO5" s="94"/>
      <c r="AP5" s="27"/>
      <c r="AQ5" s="27"/>
      <c r="AR5" s="94">
        <f>$AK5*$AA5</f>
        <v>481.25412009497717</v>
      </c>
      <c r="AS5" s="94">
        <f xml:space="preserve"> AR5 / 2</f>
        <v>240.62706004748858</v>
      </c>
      <c r="AT5" s="27">
        <f>$AL5*$AA5 + AS5</f>
        <v>26108.036015152513</v>
      </c>
      <c r="AU5" s="27">
        <f xml:space="preserve"> SUM(AS5:AS22)</f>
        <v>2747.1866235163925</v>
      </c>
      <c r="AV5" s="27">
        <f>$AT5+$AT6+$AT7+$AT8+$AT9+$AT10+$AT11+$AT12+$AT13+$AT14+$AT15+$AT16+$AT17+$AT18+$AT19+$AT20+$AT21+$AT22</f>
        <v>521577.09173488361</v>
      </c>
      <c r="AW5" s="94"/>
      <c r="AX5" s="94"/>
      <c r="AY5" s="27"/>
      <c r="AZ5" s="27"/>
      <c r="BA5" s="27"/>
      <c r="BB5" s="18"/>
      <c r="BC5" s="34">
        <v>0.1152</v>
      </c>
      <c r="BD5" s="34">
        <v>5.4199999999999998E-2</v>
      </c>
      <c r="BE5">
        <v>2.3E-2</v>
      </c>
      <c r="BF5" s="47"/>
      <c r="BG5" s="27"/>
      <c r="BH5" s="27"/>
      <c r="BI5" s="47">
        <f>$AV5*$BC5</f>
        <v>60085.680967858592</v>
      </c>
      <c r="BJ5" s="27">
        <f>$AV5*$BD5</f>
        <v>28269.478372030691</v>
      </c>
      <c r="BK5" s="27">
        <f>$AV5*$BE5</f>
        <v>11996.273109902322</v>
      </c>
      <c r="BL5" s="47"/>
      <c r="BM5" s="27"/>
      <c r="BN5" s="27"/>
      <c r="BO5" s="117"/>
      <c r="BP5" s="34">
        <f xml:space="preserve"> 1 - BC5</f>
        <v>0.88480000000000003</v>
      </c>
      <c r="BQ5" s="34">
        <f xml:space="preserve"> 1 - BD5</f>
        <v>0.94579999999999997</v>
      </c>
      <c r="BR5">
        <f xml:space="preserve"> 1 - BE5</f>
        <v>0.97699999999999998</v>
      </c>
      <c r="BS5" s="47"/>
      <c r="BT5" s="27"/>
      <c r="BU5" s="27"/>
      <c r="BV5" s="47">
        <f xml:space="preserve"> AV5 * BP5</f>
        <v>461491.41076702502</v>
      </c>
      <c r="BW5" s="27">
        <f xml:space="preserve"> AV5 * BQ5</f>
        <v>493307.61336285289</v>
      </c>
      <c r="BX5" s="27">
        <f xml:space="preserve"> AV5 * BR5</f>
        <v>509580.81862498127</v>
      </c>
      <c r="BY5" s="47"/>
      <c r="BZ5" s="27"/>
      <c r="CA5" s="27"/>
      <c r="CC5">
        <f xml:space="preserve"> 1 - 0.32</f>
        <v>0.67999999999999994</v>
      </c>
      <c r="CD5">
        <f>1-0.68</f>
        <v>0.31999999999999995</v>
      </c>
      <c r="CK5" s="27">
        <f xml:space="preserve"> BV5 * CC5</f>
        <v>313814.159321577</v>
      </c>
      <c r="CL5" s="27">
        <f xml:space="preserve"> BV5 * CD5</f>
        <v>147677.251445448</v>
      </c>
      <c r="CM5" s="27">
        <f xml:space="preserve"> BW5 * CC5</f>
        <v>335449.17708673992</v>
      </c>
      <c r="CN5" s="27">
        <f xml:space="preserve"> BW5 * CD5</f>
        <v>157858.43627611289</v>
      </c>
      <c r="CO5" s="27">
        <f xml:space="preserve"> BX5 * CC5</f>
        <v>346514.95666498726</v>
      </c>
      <c r="CP5" s="27">
        <f xml:space="preserve"> BX5 * CD5</f>
        <v>163065.86195999398</v>
      </c>
      <c r="CX5">
        <f xml:space="preserve"> 1 - 0.01</f>
        <v>0.99</v>
      </c>
      <c r="CY5">
        <v>0.75</v>
      </c>
      <c r="DC5" s="27">
        <f xml:space="preserve"> CK5 * CX5</f>
        <v>310676.01772836124</v>
      </c>
      <c r="DD5" s="27">
        <f xml:space="preserve"> CM5 * CX5</f>
        <v>332094.68531587254</v>
      </c>
      <c r="DE5" s="27">
        <f xml:space="preserve"> CO5 * CX5</f>
        <v>343049.80709833739</v>
      </c>
      <c r="DL5" s="27">
        <f xml:space="preserve"> CK5 * CY5</f>
        <v>235360.61949118273</v>
      </c>
      <c r="DM5" s="27">
        <f xml:space="preserve"> CM5 * CY5</f>
        <v>251586.88281505494</v>
      </c>
      <c r="DN5" s="27">
        <f xml:space="preserve"> CO5 * CY5</f>
        <v>259886.21749874044</v>
      </c>
      <c r="DS5" s="27"/>
      <c r="DT5" s="27"/>
      <c r="DU5" s="27"/>
      <c r="DV5" s="47">
        <f>$BI5+$AU5</f>
        <v>62832.867591374983</v>
      </c>
      <c r="DW5" s="27">
        <f>$BJ5+$AU5</f>
        <v>31016.664995547086</v>
      </c>
      <c r="DX5" s="42">
        <f>$BK5+$AU5</f>
        <v>14743.459733418715</v>
      </c>
      <c r="DY5" s="54"/>
      <c r="DZ5" s="42"/>
      <c r="EA5" s="42"/>
      <c r="EB5" s="121"/>
      <c r="EC5" s="27"/>
      <c r="ED5" s="27"/>
      <c r="EE5" s="27"/>
      <c r="EF5" s="47">
        <f t="shared" ref="EF5:EH5" si="2" xml:space="preserve"> DL5 + DV5</f>
        <v>298193.48708255769</v>
      </c>
      <c r="EG5" s="27">
        <f t="shared" si="2"/>
        <v>282603.547810602</v>
      </c>
      <c r="EH5" s="42">
        <f t="shared" si="2"/>
        <v>274629.67723215919</v>
      </c>
      <c r="EI5" s="54"/>
      <c r="EJ5" s="42"/>
      <c r="EK5" s="197"/>
      <c r="EL5" s="27"/>
      <c r="EM5" s="27"/>
      <c r="EN5" s="27"/>
      <c r="EO5" s="47">
        <f xml:space="preserve"> DC5 + DV5</f>
        <v>373508.8853197362</v>
      </c>
      <c r="EP5" s="27">
        <f xml:space="preserve"> DD5 + DW5</f>
        <v>363111.35031141964</v>
      </c>
      <c r="EQ5" s="42">
        <f xml:space="preserve"> DE5 + DX5</f>
        <v>357793.2668317561</v>
      </c>
      <c r="ER5" s="54"/>
      <c r="ES5" s="42"/>
      <c r="ET5" s="197"/>
    </row>
    <row r="6" spans="1:151" x14ac:dyDescent="0.2">
      <c r="A6" s="3" t="s">
        <v>8</v>
      </c>
      <c r="B6">
        <v>1128</v>
      </c>
      <c r="C6">
        <v>41</v>
      </c>
      <c r="D6">
        <v>2.71</v>
      </c>
      <c r="E6">
        <v>0.65</v>
      </c>
      <c r="F6" t="s">
        <v>13</v>
      </c>
      <c r="G6" t="s">
        <v>11</v>
      </c>
      <c r="H6" s="20"/>
      <c r="I6" s="21"/>
      <c r="J6">
        <v>798</v>
      </c>
      <c r="K6" s="94">
        <v>104.05</v>
      </c>
      <c r="L6">
        <v>0.65</v>
      </c>
      <c r="M6" s="38">
        <v>518.70000000000005</v>
      </c>
      <c r="N6" s="27"/>
      <c r="O6" s="27">
        <f t="shared" si="0"/>
        <v>53970.735000000001</v>
      </c>
      <c r="P6" s="27"/>
      <c r="Q6" s="27"/>
      <c r="R6" s="142">
        <f xml:space="preserve"> R5 / 1000</f>
        <v>525.58568400000001</v>
      </c>
      <c r="S6" s="27"/>
      <c r="T6" s="18"/>
      <c r="U6">
        <v>2.3999999999999998E-3</v>
      </c>
      <c r="V6">
        <v>0.99760000000000004</v>
      </c>
      <c r="W6" s="94"/>
      <c r="X6" s="94">
        <f t="shared" ref="X6:X22" si="3" xml:space="preserve"> O6 * U6</f>
        <v>129.529764</v>
      </c>
      <c r="Y6" s="94"/>
      <c r="Z6" s="94"/>
      <c r="AA6" s="94">
        <f t="shared" ref="AA6:AA22" si="4" xml:space="preserve"> O6 * V6</f>
        <v>53841.205236000002</v>
      </c>
      <c r="AB6" s="94"/>
      <c r="AI6" s="18"/>
      <c r="AJ6">
        <v>0</v>
      </c>
      <c r="AK6" s="34">
        <f t="shared" ref="AK6:AK21" si="5">$AJ6/8760</f>
        <v>0</v>
      </c>
      <c r="AL6" s="34">
        <f t="shared" si="1"/>
        <v>1</v>
      </c>
      <c r="AM6" s="94"/>
      <c r="AN6" s="94"/>
      <c r="AO6" s="94"/>
      <c r="AP6" s="27"/>
      <c r="AQ6" s="27"/>
      <c r="AR6" s="94">
        <f t="shared" ref="AR6:AR22" si="6">$AK6*$AA6</f>
        <v>0</v>
      </c>
      <c r="AS6" s="94">
        <f t="shared" ref="AS6:AS22" si="7" xml:space="preserve"> AR6 / 2</f>
        <v>0</v>
      </c>
      <c r="AT6" s="27">
        <f t="shared" ref="AT6:AT22" si="8">$AL6*$AA6 + AS6</f>
        <v>53841.205236000002</v>
      </c>
      <c r="AU6" s="27"/>
      <c r="AV6" s="27"/>
      <c r="AW6" s="94"/>
      <c r="AX6" s="94"/>
      <c r="AY6" s="27"/>
      <c r="AZ6" s="27"/>
      <c r="BA6" s="27"/>
      <c r="BB6" s="18"/>
      <c r="BF6" s="3"/>
      <c r="BI6" s="3"/>
      <c r="BL6" s="3"/>
      <c r="BO6" s="117"/>
      <c r="BS6" s="3"/>
      <c r="BV6" s="3"/>
      <c r="BY6" s="3"/>
      <c r="DV6" s="3"/>
      <c r="DX6" s="38"/>
      <c r="DY6" s="55"/>
      <c r="DZ6" s="38"/>
      <c r="EA6" s="38"/>
      <c r="EB6" s="121"/>
      <c r="EF6" s="3"/>
      <c r="EH6" s="38"/>
      <c r="EI6" s="55"/>
      <c r="EJ6" s="38"/>
      <c r="EK6" s="198"/>
      <c r="EO6" s="3"/>
      <c r="EQ6" s="38"/>
      <c r="ER6" s="55"/>
      <c r="ES6" s="38"/>
      <c r="ET6" s="198"/>
    </row>
    <row r="7" spans="1:151" x14ac:dyDescent="0.2">
      <c r="A7" s="3" t="s">
        <v>10</v>
      </c>
      <c r="B7">
        <v>1869</v>
      </c>
      <c r="C7">
        <v>704</v>
      </c>
      <c r="D7">
        <v>2.25</v>
      </c>
      <c r="F7" t="s">
        <v>14</v>
      </c>
      <c r="G7" t="s">
        <v>125</v>
      </c>
      <c r="H7" s="20"/>
      <c r="I7" s="21"/>
      <c r="J7">
        <v>704</v>
      </c>
      <c r="K7" s="94">
        <v>104.05</v>
      </c>
      <c r="L7">
        <v>2.25</v>
      </c>
      <c r="M7" s="38">
        <v>1584</v>
      </c>
      <c r="N7" s="27"/>
      <c r="O7" s="27">
        <f t="shared" si="0"/>
        <v>164815.19999999998</v>
      </c>
      <c r="P7" s="27"/>
      <c r="Q7" s="27"/>
      <c r="R7" s="27"/>
      <c r="S7" s="27"/>
      <c r="T7" s="18"/>
      <c r="U7">
        <v>2.3999999999999998E-3</v>
      </c>
      <c r="V7">
        <v>0.99760000000000004</v>
      </c>
      <c r="W7" s="94"/>
      <c r="X7" s="94">
        <f t="shared" si="3"/>
        <v>395.55647999999991</v>
      </c>
      <c r="Y7" s="94"/>
      <c r="Z7" s="94"/>
      <c r="AA7" s="94">
        <f t="shared" si="4"/>
        <v>164419.64351999998</v>
      </c>
      <c r="AB7" s="94"/>
      <c r="AI7" s="18"/>
      <c r="AJ7">
        <v>4</v>
      </c>
      <c r="AK7" s="34">
        <f t="shared" si="5"/>
        <v>4.5662100456621003E-4</v>
      </c>
      <c r="AL7" s="34">
        <f t="shared" si="1"/>
        <v>0.99954337899543377</v>
      </c>
      <c r="AM7" s="94"/>
      <c r="AN7" s="94"/>
      <c r="AO7" s="94"/>
      <c r="AP7" s="27"/>
      <c r="AQ7" s="27"/>
      <c r="AR7" s="94">
        <f t="shared" si="6"/>
        <v>75.077462794520542</v>
      </c>
      <c r="AS7" s="94">
        <f t="shared" si="7"/>
        <v>37.538731397260271</v>
      </c>
      <c r="AT7" s="27">
        <f t="shared" si="8"/>
        <v>164382.10478860271</v>
      </c>
      <c r="AU7" s="27"/>
      <c r="AV7" s="27"/>
      <c r="AW7" s="94"/>
      <c r="AX7" s="94"/>
      <c r="AY7" s="27"/>
      <c r="AZ7" s="27"/>
      <c r="BA7" s="27"/>
      <c r="BB7" s="18"/>
      <c r="BF7" s="3"/>
      <c r="BI7" s="3"/>
      <c r="BL7" s="3"/>
      <c r="BO7" s="117"/>
      <c r="BS7" s="3"/>
      <c r="BV7" s="3"/>
      <c r="BY7" s="3"/>
      <c r="DV7" s="3"/>
      <c r="DX7" s="38"/>
      <c r="DY7" s="55"/>
      <c r="DZ7" s="38"/>
      <c r="EA7" s="38"/>
      <c r="EB7" s="121"/>
      <c r="EF7" s="3"/>
      <c r="EH7" s="38"/>
      <c r="EI7" s="55"/>
      <c r="EJ7" s="38"/>
      <c r="EK7" s="198"/>
      <c r="EO7" s="3"/>
      <c r="EQ7" s="38"/>
      <c r="ER7" s="55"/>
      <c r="ES7" s="38"/>
      <c r="ET7" s="198"/>
    </row>
    <row r="8" spans="1:151" x14ac:dyDescent="0.2">
      <c r="A8" s="3" t="s">
        <v>12</v>
      </c>
      <c r="B8">
        <v>1239</v>
      </c>
      <c r="C8">
        <v>1221</v>
      </c>
      <c r="D8">
        <v>0.17</v>
      </c>
      <c r="F8" t="s">
        <v>15</v>
      </c>
      <c r="G8" t="s">
        <v>126</v>
      </c>
      <c r="H8" s="20"/>
      <c r="I8" s="21"/>
      <c r="J8">
        <v>211</v>
      </c>
      <c r="K8" s="94">
        <v>104.05</v>
      </c>
      <c r="L8">
        <v>0.17</v>
      </c>
      <c r="M8" s="38">
        <v>35.869999999999997</v>
      </c>
      <c r="N8" s="27"/>
      <c r="O8" s="27">
        <f t="shared" si="0"/>
        <v>3732.2735000000002</v>
      </c>
      <c r="P8" s="27"/>
      <c r="Q8" s="27"/>
      <c r="R8" s="27"/>
      <c r="S8" s="27"/>
      <c r="T8" s="18"/>
      <c r="U8">
        <v>2.3999999999999998E-3</v>
      </c>
      <c r="V8">
        <v>0.99760000000000004</v>
      </c>
      <c r="W8" s="94"/>
      <c r="X8" s="94">
        <f t="shared" si="3"/>
        <v>8.9574563999999999</v>
      </c>
      <c r="Y8" s="94"/>
      <c r="Z8" s="94"/>
      <c r="AA8" s="94">
        <f t="shared" si="4"/>
        <v>3723.3160436000003</v>
      </c>
      <c r="AB8" s="94"/>
      <c r="AI8" s="18"/>
      <c r="AJ8">
        <v>266</v>
      </c>
      <c r="AK8" s="34">
        <f t="shared" si="5"/>
        <v>3.0365296803652967E-2</v>
      </c>
      <c r="AL8" s="34">
        <f t="shared" si="1"/>
        <v>0.96963470319634704</v>
      </c>
      <c r="AM8" s="94"/>
      <c r="AN8" s="94"/>
      <c r="AO8" s="94"/>
      <c r="AP8" s="27"/>
      <c r="AQ8" s="27"/>
      <c r="AR8" s="94">
        <f t="shared" si="6"/>
        <v>113.0595967577169</v>
      </c>
      <c r="AS8" s="94">
        <f t="shared" si="7"/>
        <v>56.529798378858452</v>
      </c>
      <c r="AT8" s="27">
        <f t="shared" si="8"/>
        <v>3666.7862452211416</v>
      </c>
      <c r="AU8" s="27"/>
      <c r="AV8" s="27"/>
      <c r="AW8" s="94"/>
      <c r="AX8" s="94"/>
      <c r="AY8" s="27"/>
      <c r="AZ8" s="27"/>
      <c r="BA8" s="27"/>
      <c r="BB8" s="18"/>
      <c r="BF8" s="3"/>
      <c r="BI8" s="3"/>
      <c r="BL8" s="3"/>
      <c r="BO8" s="117"/>
      <c r="BS8" s="3"/>
      <c r="BV8" s="3"/>
      <c r="BY8" s="3"/>
      <c r="DV8" s="3"/>
      <c r="DX8" s="38"/>
      <c r="DY8" s="55"/>
      <c r="DZ8" s="38"/>
      <c r="EA8" s="38"/>
      <c r="EB8" s="121"/>
      <c r="EF8" s="3"/>
      <c r="EH8" s="38"/>
      <c r="EI8" s="55"/>
      <c r="EJ8" s="38"/>
      <c r="EK8" s="198"/>
      <c r="EO8" s="3"/>
      <c r="EQ8" s="38"/>
      <c r="ER8" s="55"/>
      <c r="ES8" s="38"/>
      <c r="ET8" s="198"/>
    </row>
    <row r="9" spans="1:151" x14ac:dyDescent="0.2">
      <c r="A9" s="3" t="s">
        <v>17</v>
      </c>
      <c r="B9">
        <v>1700.5</v>
      </c>
      <c r="C9">
        <v>744</v>
      </c>
      <c r="D9">
        <v>0.74</v>
      </c>
      <c r="F9" t="s">
        <v>18</v>
      </c>
      <c r="G9" t="s">
        <v>126</v>
      </c>
      <c r="H9" s="20"/>
      <c r="I9" s="21"/>
      <c r="J9">
        <v>1258</v>
      </c>
      <c r="K9" s="94">
        <v>104.05</v>
      </c>
      <c r="L9">
        <v>0.74</v>
      </c>
      <c r="M9" s="38">
        <v>930.92</v>
      </c>
      <c r="N9" s="27"/>
      <c r="O9" s="27">
        <f t="shared" si="0"/>
        <v>96862.225999999995</v>
      </c>
      <c r="P9" s="27"/>
      <c r="Q9" s="27"/>
      <c r="R9" s="27"/>
      <c r="S9" s="27"/>
      <c r="T9" s="18"/>
      <c r="U9">
        <v>2.3999999999999998E-3</v>
      </c>
      <c r="V9">
        <v>0.99760000000000004</v>
      </c>
      <c r="W9" s="94"/>
      <c r="X9" s="94">
        <f t="shared" si="3"/>
        <v>232.46934239999996</v>
      </c>
      <c r="Y9" s="94"/>
      <c r="Z9" s="94"/>
      <c r="AA9" s="94">
        <f t="shared" si="4"/>
        <v>96629.756657599995</v>
      </c>
      <c r="AB9" s="94"/>
      <c r="AI9" s="18"/>
      <c r="AJ9">
        <v>80</v>
      </c>
      <c r="AK9" s="34">
        <f t="shared" si="5"/>
        <v>9.1324200913242004E-3</v>
      </c>
      <c r="AL9" s="34">
        <f t="shared" si="1"/>
        <v>0.9908675799086758</v>
      </c>
      <c r="AM9" s="94"/>
      <c r="AN9" s="94"/>
      <c r="AO9" s="94"/>
      <c r="AP9" s="27"/>
      <c r="AQ9" s="27"/>
      <c r="AR9" s="94">
        <f t="shared" si="6"/>
        <v>882.46353111963458</v>
      </c>
      <c r="AS9" s="94">
        <f t="shared" si="7"/>
        <v>441.23176555981729</v>
      </c>
      <c r="AT9" s="27">
        <f t="shared" si="8"/>
        <v>96188.524892040179</v>
      </c>
      <c r="AU9" s="27"/>
      <c r="AV9" s="27"/>
      <c r="AW9" s="94"/>
      <c r="AX9" s="94"/>
      <c r="AY9" s="27"/>
      <c r="AZ9" s="27"/>
      <c r="BA9" s="27"/>
      <c r="BB9" s="18"/>
      <c r="BF9" s="3"/>
      <c r="BI9" s="3"/>
      <c r="BL9" s="3"/>
      <c r="BO9" s="117"/>
      <c r="BS9" s="3"/>
      <c r="BV9" s="3"/>
      <c r="BY9" s="3"/>
      <c r="DV9" s="3"/>
      <c r="DX9" s="38"/>
      <c r="DY9" s="55"/>
      <c r="DZ9" s="38"/>
      <c r="EA9" s="38"/>
      <c r="EB9" s="121"/>
      <c r="EF9" s="3"/>
      <c r="EH9" s="38"/>
      <c r="EI9" s="55"/>
      <c r="EJ9" s="38"/>
      <c r="EK9" s="198"/>
      <c r="EO9" s="3"/>
      <c r="EQ9" s="38"/>
      <c r="ER9" s="55"/>
      <c r="ES9" s="38"/>
      <c r="ET9" s="198"/>
    </row>
    <row r="10" spans="1:151" x14ac:dyDescent="0.2">
      <c r="A10" s="3" t="s">
        <v>19</v>
      </c>
      <c r="B10">
        <v>1688</v>
      </c>
      <c r="C10">
        <v>152.5</v>
      </c>
      <c r="D10">
        <v>1.29</v>
      </c>
      <c r="E10">
        <v>0.35299999999999998</v>
      </c>
      <c r="F10" t="s">
        <v>25</v>
      </c>
      <c r="G10" t="s">
        <v>124</v>
      </c>
      <c r="H10" s="20"/>
      <c r="I10" s="21"/>
      <c r="J10">
        <v>596</v>
      </c>
      <c r="K10" s="94">
        <v>104.05</v>
      </c>
      <c r="L10">
        <v>0.35</v>
      </c>
      <c r="M10" s="38">
        <v>208.6</v>
      </c>
      <c r="N10" s="27"/>
      <c r="O10" s="27">
        <f t="shared" si="0"/>
        <v>21704.829999999998</v>
      </c>
      <c r="P10" s="27"/>
      <c r="Q10" s="27"/>
      <c r="R10" s="27"/>
      <c r="S10" s="27"/>
      <c r="T10" s="18"/>
      <c r="U10">
        <v>2.3999999999999998E-3</v>
      </c>
      <c r="V10">
        <v>0.99760000000000004</v>
      </c>
      <c r="W10" s="94"/>
      <c r="X10" s="94">
        <f t="shared" si="3"/>
        <v>52.091591999999991</v>
      </c>
      <c r="Y10" s="94"/>
      <c r="Z10" s="94"/>
      <c r="AA10" s="94">
        <f t="shared" si="4"/>
        <v>21652.738407999997</v>
      </c>
      <c r="AB10" s="94"/>
      <c r="AI10" s="18"/>
      <c r="AJ10">
        <v>332</v>
      </c>
      <c r="AK10" s="34">
        <f t="shared" si="5"/>
        <v>3.7899543378995433E-2</v>
      </c>
      <c r="AL10" s="34">
        <f t="shared" si="1"/>
        <v>0.96210045662100452</v>
      </c>
      <c r="AM10" s="94"/>
      <c r="AN10" s="94"/>
      <c r="AO10" s="94"/>
      <c r="AP10" s="27"/>
      <c r="AQ10" s="27"/>
      <c r="AR10" s="94">
        <f t="shared" si="6"/>
        <v>820.62889856803645</v>
      </c>
      <c r="AS10" s="94">
        <f t="shared" si="7"/>
        <v>410.31444928401822</v>
      </c>
      <c r="AT10" s="27">
        <f t="shared" si="8"/>
        <v>21242.423958715979</v>
      </c>
      <c r="AU10" s="27"/>
      <c r="AV10" s="27"/>
      <c r="AW10" s="94"/>
      <c r="AX10" s="94"/>
      <c r="AY10" s="27"/>
      <c r="AZ10" s="27"/>
      <c r="BA10" s="27"/>
      <c r="BB10" s="18"/>
      <c r="BF10" s="3"/>
      <c r="BI10" s="3"/>
      <c r="BL10" s="3"/>
      <c r="BO10" s="117"/>
      <c r="BS10" s="3"/>
      <c r="BV10" s="3"/>
      <c r="BY10" s="3"/>
      <c r="DV10" s="3"/>
      <c r="DX10" s="38"/>
      <c r="DY10" s="55"/>
      <c r="DZ10" s="38"/>
      <c r="EA10" s="38"/>
      <c r="EB10" s="121"/>
      <c r="EF10" s="3"/>
      <c r="EH10" s="38"/>
      <c r="EI10" s="55"/>
      <c r="EJ10" s="38"/>
      <c r="EK10" s="198"/>
      <c r="EO10" s="3"/>
      <c r="EQ10" s="38"/>
      <c r="ER10" s="55"/>
      <c r="ES10" s="38"/>
      <c r="ET10" s="198"/>
    </row>
    <row r="11" spans="1:151" x14ac:dyDescent="0.2">
      <c r="A11" s="3" t="s">
        <v>20</v>
      </c>
      <c r="B11">
        <v>2122</v>
      </c>
      <c r="C11">
        <v>15</v>
      </c>
      <c r="D11">
        <v>0.24</v>
      </c>
      <c r="E11">
        <v>0.317</v>
      </c>
      <c r="F11" t="s">
        <v>26</v>
      </c>
      <c r="G11" t="s">
        <v>124</v>
      </c>
      <c r="H11" s="20"/>
      <c r="I11" s="21"/>
      <c r="J11">
        <v>673</v>
      </c>
      <c r="K11" s="94">
        <v>104.05</v>
      </c>
      <c r="L11">
        <v>0.32</v>
      </c>
      <c r="M11" s="38">
        <v>215.36</v>
      </c>
      <c r="N11" s="27"/>
      <c r="O11" s="27">
        <f t="shared" si="0"/>
        <v>22408.207999999999</v>
      </c>
      <c r="P11" s="27"/>
      <c r="Q11" s="27"/>
      <c r="R11" s="27"/>
      <c r="S11" s="27"/>
      <c r="T11" s="18"/>
      <c r="U11">
        <v>2.3999999999999998E-3</v>
      </c>
      <c r="V11">
        <v>0.99760000000000004</v>
      </c>
      <c r="W11" s="94"/>
      <c r="X11" s="94">
        <f t="shared" si="3"/>
        <v>53.779699199999989</v>
      </c>
      <c r="Y11" s="94"/>
      <c r="Z11" s="94"/>
      <c r="AA11" s="94">
        <f t="shared" si="4"/>
        <v>22354.428300799998</v>
      </c>
      <c r="AB11" s="94"/>
      <c r="AI11" s="18"/>
      <c r="AJ11">
        <v>0</v>
      </c>
      <c r="AK11" s="34">
        <f t="shared" si="5"/>
        <v>0</v>
      </c>
      <c r="AL11" s="34">
        <f t="shared" si="1"/>
        <v>1</v>
      </c>
      <c r="AM11" s="94"/>
      <c r="AN11" s="94"/>
      <c r="AO11" s="94"/>
      <c r="AP11" s="27"/>
      <c r="AQ11" s="27"/>
      <c r="AR11" s="94">
        <f t="shared" si="6"/>
        <v>0</v>
      </c>
      <c r="AS11" s="94">
        <f t="shared" si="7"/>
        <v>0</v>
      </c>
      <c r="AT11" s="27">
        <f t="shared" si="8"/>
        <v>22354.428300799998</v>
      </c>
      <c r="AU11" s="27"/>
      <c r="AV11" s="27"/>
      <c r="AW11" s="94"/>
      <c r="AX11" s="94"/>
      <c r="AY11" s="27"/>
      <c r="AZ11" s="27"/>
      <c r="BA11" s="27"/>
      <c r="BB11" s="18"/>
      <c r="BF11" s="3"/>
      <c r="BI11" s="3"/>
      <c r="BL11" s="3"/>
      <c r="BO11" s="117"/>
      <c r="BS11" s="3"/>
      <c r="BV11" s="3"/>
      <c r="BY11" s="3"/>
      <c r="DV11" s="3"/>
      <c r="DX11" s="38"/>
      <c r="DY11" s="55"/>
      <c r="DZ11" s="38"/>
      <c r="EA11" s="38"/>
      <c r="EB11" s="121"/>
      <c r="EF11" s="3"/>
      <c r="EH11" s="38"/>
      <c r="EI11" s="55"/>
      <c r="EJ11" s="38"/>
      <c r="EK11" s="198"/>
      <c r="EO11" s="3"/>
      <c r="EQ11" s="38"/>
      <c r="ER11" s="55"/>
      <c r="ES11" s="38"/>
      <c r="ET11" s="198"/>
    </row>
    <row r="12" spans="1:151" x14ac:dyDescent="0.2">
      <c r="A12" s="3" t="s">
        <v>21</v>
      </c>
      <c r="B12">
        <v>2122</v>
      </c>
      <c r="C12">
        <v>15</v>
      </c>
      <c r="D12">
        <v>1.36</v>
      </c>
      <c r="E12">
        <v>0.19</v>
      </c>
      <c r="F12" t="s">
        <v>27</v>
      </c>
      <c r="G12" t="s">
        <v>124</v>
      </c>
      <c r="H12" s="20"/>
      <c r="I12" s="21"/>
      <c r="J12">
        <v>403</v>
      </c>
      <c r="K12" s="94">
        <v>104.05</v>
      </c>
      <c r="L12">
        <v>0.19</v>
      </c>
      <c r="M12" s="38">
        <v>76.569999999999993</v>
      </c>
      <c r="N12" s="27"/>
      <c r="O12" s="27">
        <f t="shared" si="0"/>
        <v>7967.1085000000003</v>
      </c>
      <c r="P12" s="27"/>
      <c r="Q12" s="27"/>
      <c r="R12" s="27"/>
      <c r="S12" s="27"/>
      <c r="T12" s="18"/>
      <c r="U12">
        <v>2.3999999999999998E-3</v>
      </c>
      <c r="V12">
        <v>0.99760000000000004</v>
      </c>
      <c r="W12" s="94"/>
      <c r="X12" s="94">
        <f t="shared" si="3"/>
        <v>19.121060399999998</v>
      </c>
      <c r="Y12" s="94"/>
      <c r="Z12" s="94"/>
      <c r="AA12" s="94">
        <f t="shared" si="4"/>
        <v>7947.9874396000005</v>
      </c>
      <c r="AB12" s="94"/>
      <c r="AI12" s="18"/>
      <c r="AJ12">
        <v>10</v>
      </c>
      <c r="AK12" s="34">
        <f t="shared" si="5"/>
        <v>1.1415525114155251E-3</v>
      </c>
      <c r="AL12" s="34">
        <f t="shared" si="1"/>
        <v>0.99885844748858443</v>
      </c>
      <c r="AM12" s="94"/>
      <c r="AN12" s="94"/>
      <c r="AO12" s="94"/>
      <c r="AP12" s="27"/>
      <c r="AQ12" s="27"/>
      <c r="AR12" s="94">
        <f t="shared" si="6"/>
        <v>9.0730450223744299</v>
      </c>
      <c r="AS12" s="94">
        <f t="shared" si="7"/>
        <v>4.5365225111872149</v>
      </c>
      <c r="AT12" s="27">
        <f t="shared" si="8"/>
        <v>7943.4509170888132</v>
      </c>
      <c r="AU12" s="27"/>
      <c r="AV12" s="27"/>
      <c r="AW12" s="94"/>
      <c r="AX12" s="94"/>
      <c r="AY12" s="27"/>
      <c r="AZ12" s="27"/>
      <c r="BA12" s="27"/>
      <c r="BB12" s="18"/>
      <c r="BF12" s="3"/>
      <c r="BI12" s="3"/>
      <c r="BL12" s="3"/>
      <c r="BO12" s="117"/>
      <c r="BS12" s="3"/>
      <c r="BV12" s="3"/>
      <c r="BY12" s="3"/>
      <c r="DV12" s="3"/>
      <c r="DX12" s="38"/>
      <c r="DY12" s="55"/>
      <c r="DZ12" s="38"/>
      <c r="EA12" s="38"/>
      <c r="EB12" s="121"/>
      <c r="EF12" s="3"/>
      <c r="EH12" s="38"/>
      <c r="EI12" s="55"/>
      <c r="EJ12" s="38"/>
      <c r="EK12" s="198"/>
      <c r="EO12" s="3"/>
      <c r="EQ12" s="38"/>
      <c r="ER12" s="55"/>
      <c r="ES12" s="38"/>
      <c r="ET12" s="198"/>
    </row>
    <row r="13" spans="1:151" x14ac:dyDescent="0.2">
      <c r="A13" s="3" t="s">
        <v>23</v>
      </c>
      <c r="B13">
        <v>1479</v>
      </c>
      <c r="C13">
        <v>8</v>
      </c>
      <c r="D13">
        <v>1.01</v>
      </c>
      <c r="F13" t="s">
        <v>28</v>
      </c>
      <c r="G13" t="s">
        <v>30</v>
      </c>
      <c r="H13" s="20"/>
      <c r="I13" s="21"/>
      <c r="J13">
        <v>8</v>
      </c>
      <c r="K13" s="94">
        <v>104.05</v>
      </c>
      <c r="L13">
        <v>1.01</v>
      </c>
      <c r="M13" s="38">
        <v>8.08</v>
      </c>
      <c r="N13" s="27"/>
      <c r="O13" s="27">
        <f t="shared" si="0"/>
        <v>840.72399999999993</v>
      </c>
      <c r="P13" s="27"/>
      <c r="Q13" s="27"/>
      <c r="R13" s="27"/>
      <c r="S13" s="27"/>
      <c r="T13" s="18"/>
      <c r="U13">
        <v>2.3999999999999998E-3</v>
      </c>
      <c r="V13">
        <v>0.99760000000000004</v>
      </c>
      <c r="W13" s="94"/>
      <c r="X13" s="94">
        <f t="shared" si="3"/>
        <v>2.0177375999999998</v>
      </c>
      <c r="Y13" s="94"/>
      <c r="Z13" s="94"/>
      <c r="AA13" s="94">
        <f t="shared" si="4"/>
        <v>838.70626240000001</v>
      </c>
      <c r="AB13" s="94"/>
      <c r="AI13" s="18"/>
      <c r="AJ13">
        <v>886</v>
      </c>
      <c r="AK13" s="34">
        <f t="shared" si="5"/>
        <v>0.10114155251141553</v>
      </c>
      <c r="AL13" s="34">
        <f t="shared" si="1"/>
        <v>0.89885844748858446</v>
      </c>
      <c r="AM13" s="94"/>
      <c r="AN13" s="94"/>
      <c r="AO13" s="94"/>
      <c r="AP13" s="27"/>
      <c r="AQ13" s="27"/>
      <c r="AR13" s="94">
        <f t="shared" si="6"/>
        <v>84.82805348018266</v>
      </c>
      <c r="AS13" s="94">
        <f t="shared" si="7"/>
        <v>42.41402674009133</v>
      </c>
      <c r="AT13" s="27">
        <f t="shared" si="8"/>
        <v>796.29223565990867</v>
      </c>
      <c r="AU13" s="27" t="s">
        <v>372</v>
      </c>
      <c r="AV13" s="27"/>
      <c r="AW13" s="94"/>
      <c r="AX13" s="94"/>
      <c r="AY13" s="27"/>
      <c r="AZ13" s="27"/>
      <c r="BA13" s="27"/>
      <c r="BB13" s="18"/>
      <c r="BF13" s="3"/>
      <c r="BI13" s="3"/>
      <c r="BL13" s="3"/>
      <c r="BO13" s="117"/>
      <c r="BS13" s="3"/>
      <c r="BV13" s="3"/>
      <c r="BY13" s="3"/>
      <c r="DV13" s="3"/>
      <c r="DX13" s="38"/>
      <c r="DY13" s="55"/>
      <c r="DZ13" s="38"/>
      <c r="EA13" s="38"/>
      <c r="EB13" s="121"/>
      <c r="EF13" s="3"/>
      <c r="EH13" s="38"/>
      <c r="EI13" s="55"/>
      <c r="EJ13" s="38"/>
      <c r="EK13" s="198"/>
      <c r="EO13" s="3"/>
      <c r="EQ13" s="38"/>
      <c r="ER13" s="55"/>
      <c r="ES13" s="38"/>
      <c r="ET13" s="198"/>
    </row>
    <row r="14" spans="1:151" x14ac:dyDescent="0.2">
      <c r="A14" s="3" t="s">
        <v>24</v>
      </c>
      <c r="B14">
        <v>1228</v>
      </c>
      <c r="C14">
        <v>41</v>
      </c>
      <c r="D14">
        <v>3.38</v>
      </c>
      <c r="E14">
        <v>0.32500000000000001</v>
      </c>
      <c r="F14" t="s">
        <v>29</v>
      </c>
      <c r="G14" t="s">
        <v>124</v>
      </c>
      <c r="H14" s="20"/>
      <c r="I14" s="21"/>
      <c r="J14">
        <v>399</v>
      </c>
      <c r="K14" s="94">
        <v>104.05</v>
      </c>
      <c r="L14">
        <v>0.33</v>
      </c>
      <c r="M14" s="38">
        <v>131.66999999999999</v>
      </c>
      <c r="N14" s="27"/>
      <c r="O14" s="27">
        <f t="shared" si="0"/>
        <v>13700.263499999999</v>
      </c>
      <c r="P14" s="27"/>
      <c r="Q14" s="27"/>
      <c r="R14" s="27"/>
      <c r="S14" s="27"/>
      <c r="T14" s="18"/>
      <c r="U14">
        <v>2.3999999999999998E-3</v>
      </c>
      <c r="V14">
        <v>0.99760000000000004</v>
      </c>
      <c r="W14" s="94"/>
      <c r="X14" s="94">
        <f t="shared" si="3"/>
        <v>32.880632399999996</v>
      </c>
      <c r="Y14" s="94"/>
      <c r="Z14" s="94"/>
      <c r="AA14" s="94">
        <f t="shared" si="4"/>
        <v>13667.382867599999</v>
      </c>
      <c r="AB14" s="94"/>
      <c r="AI14" s="18"/>
      <c r="AJ14">
        <v>167</v>
      </c>
      <c r="AK14" s="34">
        <f t="shared" si="5"/>
        <v>1.906392694063927E-2</v>
      </c>
      <c r="AL14" s="34">
        <f t="shared" si="1"/>
        <v>0.9809360730593607</v>
      </c>
      <c r="AM14" s="94"/>
      <c r="AN14" s="94"/>
      <c r="AO14" s="94"/>
      <c r="AP14" s="27"/>
      <c r="AQ14" s="27"/>
      <c r="AR14" s="94">
        <f t="shared" si="6"/>
        <v>260.55398845767121</v>
      </c>
      <c r="AS14" s="94">
        <f t="shared" si="7"/>
        <v>130.2769942288356</v>
      </c>
      <c r="AT14" s="27">
        <f t="shared" si="8"/>
        <v>13537.105873371163</v>
      </c>
      <c r="AU14" s="27"/>
      <c r="AV14" s="27"/>
      <c r="AW14" s="94"/>
      <c r="AX14" s="94"/>
      <c r="AY14" s="27"/>
      <c r="AZ14" s="27"/>
      <c r="BA14" s="27"/>
      <c r="BB14" s="18"/>
      <c r="BF14" s="3"/>
      <c r="BI14" s="3"/>
      <c r="BL14" s="3"/>
      <c r="BO14" s="117"/>
      <c r="BS14" s="3"/>
      <c r="BV14" s="3"/>
      <c r="BY14" s="3"/>
      <c r="DV14" s="3"/>
      <c r="DX14" s="38"/>
      <c r="DY14" s="55"/>
      <c r="DZ14" s="38"/>
      <c r="EA14" s="38"/>
      <c r="EB14" s="121"/>
      <c r="EF14" s="3"/>
      <c r="EH14" s="38"/>
      <c r="EI14" s="55"/>
      <c r="EJ14" s="38"/>
      <c r="EK14" s="198"/>
      <c r="EO14" s="3"/>
      <c r="EQ14" s="38"/>
      <c r="ER14" s="55"/>
      <c r="ES14" s="38"/>
      <c r="ET14" s="198"/>
    </row>
    <row r="15" spans="1:151" x14ac:dyDescent="0.2">
      <c r="A15" s="3" t="s">
        <v>31</v>
      </c>
      <c r="B15">
        <v>1379</v>
      </c>
      <c r="C15">
        <v>6</v>
      </c>
      <c r="D15">
        <v>0.59</v>
      </c>
      <c r="F15" t="s">
        <v>32</v>
      </c>
      <c r="G15" t="s">
        <v>30</v>
      </c>
      <c r="H15" s="20"/>
      <c r="I15" s="21"/>
      <c r="J15">
        <v>6</v>
      </c>
      <c r="K15" s="94">
        <v>104.05</v>
      </c>
      <c r="L15">
        <v>0.59</v>
      </c>
      <c r="M15" s="38">
        <v>3.54</v>
      </c>
      <c r="N15" s="27"/>
      <c r="O15" s="27">
        <f t="shared" si="0"/>
        <v>368.33699999999993</v>
      </c>
      <c r="P15" s="27"/>
      <c r="Q15" s="27"/>
      <c r="R15" s="27"/>
      <c r="S15" s="27"/>
      <c r="T15" s="18"/>
      <c r="U15">
        <v>2.3999999999999998E-3</v>
      </c>
      <c r="V15">
        <v>0.99760000000000004</v>
      </c>
      <c r="W15" s="94"/>
      <c r="X15" s="94">
        <f t="shared" si="3"/>
        <v>0.88400879999999971</v>
      </c>
      <c r="Y15" s="94"/>
      <c r="Z15" s="94"/>
      <c r="AA15" s="94">
        <f t="shared" si="4"/>
        <v>367.45299119999993</v>
      </c>
      <c r="AB15" s="94"/>
      <c r="AI15" s="18"/>
      <c r="AJ15">
        <v>1315</v>
      </c>
      <c r="AK15" s="34">
        <f t="shared" si="5"/>
        <v>0.15011415525114155</v>
      </c>
      <c r="AL15" s="34">
        <f t="shared" si="1"/>
        <v>0.84988584474885842</v>
      </c>
      <c r="AM15" s="94"/>
      <c r="AN15" s="94"/>
      <c r="AO15" s="94"/>
      <c r="AP15" s="27"/>
      <c r="AQ15" s="27"/>
      <c r="AR15" s="94">
        <f t="shared" si="6"/>
        <v>55.159895368493139</v>
      </c>
      <c r="AS15" s="94">
        <f t="shared" si="7"/>
        <v>27.579947684246569</v>
      </c>
      <c r="AT15" s="27">
        <f t="shared" si="8"/>
        <v>339.87304351575335</v>
      </c>
      <c r="AU15" s="27"/>
      <c r="AV15" s="27"/>
      <c r="AW15" s="94"/>
      <c r="AX15" s="94"/>
      <c r="AY15" s="27"/>
      <c r="AZ15" s="27"/>
      <c r="BA15" s="27"/>
      <c r="BB15" s="18"/>
      <c r="BF15" s="3"/>
      <c r="BI15" s="3"/>
      <c r="BL15" s="3"/>
      <c r="BO15" s="117"/>
      <c r="BS15" s="3"/>
      <c r="BV15" s="3"/>
      <c r="BY15" s="3"/>
      <c r="DV15" s="3"/>
      <c r="DX15" s="38"/>
      <c r="DY15" s="55"/>
      <c r="DZ15" s="38"/>
      <c r="EA15" s="38"/>
      <c r="EB15" s="121"/>
      <c r="EF15" s="3"/>
      <c r="EH15" s="38"/>
      <c r="EI15" s="55"/>
      <c r="EJ15" s="38"/>
      <c r="EK15" s="198"/>
      <c r="EO15" s="3"/>
      <c r="EQ15" s="38"/>
      <c r="ER15" s="55"/>
      <c r="ES15" s="38"/>
      <c r="ET15" s="198"/>
    </row>
    <row r="16" spans="1:151" x14ac:dyDescent="0.2">
      <c r="A16" s="3" t="s">
        <v>33</v>
      </c>
      <c r="B16">
        <v>1179</v>
      </c>
      <c r="C16">
        <v>10</v>
      </c>
      <c r="D16">
        <v>2.5</v>
      </c>
      <c r="E16">
        <v>0.625</v>
      </c>
      <c r="F16" t="s">
        <v>34</v>
      </c>
      <c r="G16" t="s">
        <v>11</v>
      </c>
      <c r="H16" s="20"/>
      <c r="I16" s="21"/>
      <c r="J16">
        <v>737</v>
      </c>
      <c r="K16" s="94">
        <v>104.05</v>
      </c>
      <c r="L16">
        <v>0.63</v>
      </c>
      <c r="M16" s="38">
        <v>464.31</v>
      </c>
      <c r="N16" s="27"/>
      <c r="O16" s="27">
        <f t="shared" si="0"/>
        <v>48311.455499999996</v>
      </c>
      <c r="P16" s="27"/>
      <c r="Q16" s="27"/>
      <c r="R16" s="27"/>
      <c r="S16" s="27"/>
      <c r="T16" s="18"/>
      <c r="U16">
        <v>2.3999999999999998E-3</v>
      </c>
      <c r="V16">
        <v>0.99760000000000004</v>
      </c>
      <c r="W16" s="94"/>
      <c r="X16" s="94">
        <f t="shared" si="3"/>
        <v>115.94749319999998</v>
      </c>
      <c r="Y16" s="94"/>
      <c r="Z16" s="94"/>
      <c r="AA16" s="94">
        <f t="shared" si="4"/>
        <v>48195.508006799995</v>
      </c>
      <c r="AB16" s="94"/>
      <c r="AI16" s="18"/>
      <c r="AJ16">
        <v>149</v>
      </c>
      <c r="AK16" s="34">
        <f t="shared" si="5"/>
        <v>1.7009132420091323E-2</v>
      </c>
      <c r="AL16" s="34">
        <f t="shared" si="1"/>
        <v>0.98299086757990872</v>
      </c>
      <c r="AM16" s="94"/>
      <c r="AN16" s="94"/>
      <c r="AO16" s="94"/>
      <c r="AP16" s="27"/>
      <c r="AQ16" s="27"/>
      <c r="AR16" s="94">
        <f t="shared" si="6"/>
        <v>819.76377774123273</v>
      </c>
      <c r="AS16" s="94">
        <f t="shared" si="7"/>
        <v>409.88188887061636</v>
      </c>
      <c r="AT16" s="27">
        <f t="shared" si="8"/>
        <v>47785.62611792938</v>
      </c>
      <c r="AU16" s="27"/>
      <c r="AV16" s="27"/>
      <c r="AW16" s="94"/>
      <c r="AX16" s="94"/>
      <c r="AY16" s="27"/>
      <c r="AZ16" s="27"/>
      <c r="BA16" s="27"/>
      <c r="BB16" s="18"/>
      <c r="BF16" s="3"/>
      <c r="BI16" s="3"/>
      <c r="BL16" s="3"/>
      <c r="BO16" s="117"/>
      <c r="BS16" s="3"/>
      <c r="BV16" s="3"/>
      <c r="BY16" s="3"/>
      <c r="DV16" s="3"/>
      <c r="DX16" s="38"/>
      <c r="DY16" s="55"/>
      <c r="DZ16" s="38"/>
      <c r="EA16" s="38"/>
      <c r="EB16" s="121"/>
      <c r="EF16" s="3"/>
      <c r="EH16" s="38"/>
      <c r="EI16" s="55"/>
      <c r="EJ16" s="38"/>
      <c r="EK16" s="198"/>
      <c r="EO16" s="3"/>
      <c r="EQ16" s="38"/>
      <c r="ER16" s="55"/>
      <c r="ES16" s="38"/>
      <c r="ET16" s="198"/>
    </row>
    <row r="17" spans="1:151" x14ac:dyDescent="0.2">
      <c r="A17" s="3" t="s">
        <v>35</v>
      </c>
      <c r="B17">
        <v>1252</v>
      </c>
      <c r="C17">
        <v>1250</v>
      </c>
      <c r="D17">
        <v>0.08</v>
      </c>
      <c r="F17" t="s">
        <v>36</v>
      </c>
      <c r="G17" t="s">
        <v>126</v>
      </c>
      <c r="H17" s="20"/>
      <c r="I17" s="21"/>
      <c r="J17">
        <v>100</v>
      </c>
      <c r="K17" s="94">
        <v>104.05</v>
      </c>
      <c r="L17">
        <v>0.08</v>
      </c>
      <c r="M17" s="38">
        <v>8</v>
      </c>
      <c r="N17" s="27"/>
      <c r="O17" s="27">
        <f t="shared" si="0"/>
        <v>832.4</v>
      </c>
      <c r="P17" s="27"/>
      <c r="Q17" s="27"/>
      <c r="R17" s="27"/>
      <c r="S17" s="27"/>
      <c r="T17" s="18"/>
      <c r="U17">
        <v>2.3999999999999998E-3</v>
      </c>
      <c r="V17">
        <v>0.99760000000000004</v>
      </c>
      <c r="W17" s="94"/>
      <c r="X17" s="94">
        <f t="shared" si="3"/>
        <v>1.9977599999999998</v>
      </c>
      <c r="Y17" s="94"/>
      <c r="Z17" s="94"/>
      <c r="AA17" s="94">
        <f t="shared" si="4"/>
        <v>830.40224000000001</v>
      </c>
      <c r="AB17" s="94"/>
      <c r="AI17" s="18"/>
      <c r="AJ17">
        <v>1181</v>
      </c>
      <c r="AK17" s="34">
        <f t="shared" si="5"/>
        <v>0.13481735159817351</v>
      </c>
      <c r="AL17" s="34">
        <f t="shared" si="1"/>
        <v>0.86518264840182646</v>
      </c>
      <c r="AM17" s="94"/>
      <c r="AN17" s="94"/>
      <c r="AO17" s="94"/>
      <c r="AP17" s="27"/>
      <c r="AQ17" s="27"/>
      <c r="AR17" s="94">
        <f t="shared" si="6"/>
        <v>111.95263075799086</v>
      </c>
      <c r="AS17" s="94">
        <f t="shared" si="7"/>
        <v>55.97631537899543</v>
      </c>
      <c r="AT17" s="27">
        <f t="shared" si="8"/>
        <v>774.42592462100458</v>
      </c>
      <c r="AU17" s="27"/>
      <c r="AV17" s="27"/>
      <c r="AW17" s="94"/>
      <c r="AX17" s="94"/>
      <c r="AY17" s="27"/>
      <c r="AZ17" s="27"/>
      <c r="BA17" s="27"/>
      <c r="BB17" s="18"/>
      <c r="BF17" s="3"/>
      <c r="BI17" s="3"/>
      <c r="BL17" s="3"/>
      <c r="BO17" s="117"/>
      <c r="BS17" s="3"/>
      <c r="BV17" s="3"/>
      <c r="BY17" s="3"/>
      <c r="DV17" s="3"/>
      <c r="DX17" s="38"/>
      <c r="DY17" s="55"/>
      <c r="DZ17" s="38"/>
      <c r="EA17" s="38"/>
      <c r="EB17" s="121"/>
      <c r="EF17" s="3"/>
      <c r="EH17" s="38"/>
      <c r="EI17" s="55"/>
      <c r="EJ17" s="38"/>
      <c r="EK17" s="198"/>
      <c r="EO17" s="3"/>
      <c r="EQ17" s="38"/>
      <c r="ER17" s="55"/>
      <c r="ES17" s="38"/>
      <c r="ET17" s="198"/>
    </row>
    <row r="18" spans="1:151" x14ac:dyDescent="0.2">
      <c r="A18" s="3" t="s">
        <v>37</v>
      </c>
      <c r="B18">
        <v>1186.5</v>
      </c>
      <c r="C18">
        <v>901</v>
      </c>
      <c r="D18">
        <v>0.69</v>
      </c>
      <c r="E18">
        <v>0.16500000000000001</v>
      </c>
      <c r="F18" t="s">
        <v>38</v>
      </c>
      <c r="G18" t="s">
        <v>16</v>
      </c>
      <c r="H18" s="20"/>
      <c r="I18" s="21"/>
      <c r="J18">
        <v>819</v>
      </c>
      <c r="K18" s="94">
        <v>104.05</v>
      </c>
      <c r="L18">
        <v>0.17</v>
      </c>
      <c r="M18" s="38">
        <v>139.22999999999999</v>
      </c>
      <c r="N18" s="27"/>
      <c r="O18" s="27">
        <f t="shared" si="0"/>
        <v>14486.881500000001</v>
      </c>
      <c r="P18" s="27"/>
      <c r="Q18" s="27"/>
      <c r="R18" s="27"/>
      <c r="S18" s="27"/>
      <c r="T18" s="18"/>
      <c r="U18">
        <v>2.3999999999999998E-3</v>
      </c>
      <c r="V18">
        <v>0.99760000000000004</v>
      </c>
      <c r="W18" s="94"/>
      <c r="X18" s="94">
        <f t="shared" si="3"/>
        <v>34.768515600000001</v>
      </c>
      <c r="Y18" s="94"/>
      <c r="Z18" s="94"/>
      <c r="AA18" s="94">
        <f t="shared" si="4"/>
        <v>14452.112984400002</v>
      </c>
      <c r="AB18" s="94"/>
      <c r="AI18" s="18"/>
      <c r="AJ18">
        <v>171</v>
      </c>
      <c r="AK18" s="34">
        <f t="shared" si="5"/>
        <v>1.9520547945205479E-2</v>
      </c>
      <c r="AL18" s="34">
        <f t="shared" si="1"/>
        <v>0.98047945205479448</v>
      </c>
      <c r="AM18" s="94"/>
      <c r="AN18" s="94"/>
      <c r="AO18" s="94"/>
      <c r="AP18" s="27"/>
      <c r="AQ18" s="27"/>
      <c r="AR18" s="94">
        <f t="shared" si="6"/>
        <v>282.11316442150689</v>
      </c>
      <c r="AS18" s="94">
        <f t="shared" si="7"/>
        <v>141.05658221075345</v>
      </c>
      <c r="AT18" s="27">
        <f t="shared" si="8"/>
        <v>14311.056402189248</v>
      </c>
      <c r="AU18" s="27"/>
      <c r="AV18" s="27"/>
      <c r="AW18" s="94"/>
      <c r="AX18" s="94"/>
      <c r="AY18" s="27"/>
      <c r="AZ18" s="27"/>
      <c r="BA18" s="27"/>
      <c r="BB18" s="18"/>
      <c r="BF18" s="3"/>
      <c r="BI18" s="3"/>
      <c r="BL18" s="3"/>
      <c r="BO18" s="117"/>
      <c r="BS18" s="3"/>
      <c r="BV18" s="3"/>
      <c r="BY18" s="3"/>
      <c r="DV18" s="3"/>
      <c r="DX18" s="38"/>
      <c r="DY18" s="55"/>
      <c r="DZ18" s="38"/>
      <c r="EA18" s="38"/>
      <c r="EB18" s="121"/>
      <c r="EF18" s="3"/>
      <c r="EH18" s="38"/>
      <c r="EI18" s="55"/>
      <c r="EJ18" s="38"/>
      <c r="EK18" s="198"/>
      <c r="EO18" s="3"/>
      <c r="EQ18" s="38"/>
      <c r="ER18" s="55"/>
      <c r="ES18" s="38"/>
      <c r="ET18" s="198"/>
    </row>
    <row r="19" spans="1:151" x14ac:dyDescent="0.2">
      <c r="A19" s="3" t="s">
        <v>39</v>
      </c>
      <c r="B19">
        <v>1747</v>
      </c>
      <c r="C19">
        <v>901</v>
      </c>
      <c r="D19">
        <v>0.41</v>
      </c>
      <c r="F19" t="s">
        <v>40</v>
      </c>
      <c r="G19" t="s">
        <v>126</v>
      </c>
      <c r="H19" s="20"/>
      <c r="I19" s="21"/>
      <c r="J19">
        <v>716</v>
      </c>
      <c r="K19" s="94">
        <v>104.05</v>
      </c>
      <c r="L19">
        <v>0.41</v>
      </c>
      <c r="M19" s="38">
        <v>293.56</v>
      </c>
      <c r="N19" s="27"/>
      <c r="O19" s="27">
        <f t="shared" si="0"/>
        <v>30544.917999999998</v>
      </c>
      <c r="P19" s="27"/>
      <c r="Q19" s="27"/>
      <c r="R19" s="27"/>
      <c r="S19" s="27"/>
      <c r="T19" s="18"/>
      <c r="U19">
        <v>2.3999999999999998E-3</v>
      </c>
      <c r="V19">
        <v>0.99760000000000004</v>
      </c>
      <c r="W19" s="94"/>
      <c r="X19" s="94">
        <f t="shared" si="3"/>
        <v>73.307803199999995</v>
      </c>
      <c r="Y19" s="94"/>
      <c r="Z19" s="94"/>
      <c r="AA19" s="94">
        <f t="shared" si="4"/>
        <v>30471.6101968</v>
      </c>
      <c r="AB19" s="94"/>
      <c r="AI19" s="18"/>
      <c r="AJ19">
        <v>14</v>
      </c>
      <c r="AK19" s="34">
        <f t="shared" si="5"/>
        <v>1.5981735159817352E-3</v>
      </c>
      <c r="AL19" s="34">
        <f t="shared" si="1"/>
        <v>0.99840182648401832</v>
      </c>
      <c r="AM19" s="94"/>
      <c r="AN19" s="94"/>
      <c r="AO19" s="94"/>
      <c r="AP19" s="27"/>
      <c r="AQ19" s="27"/>
      <c r="AR19" s="94">
        <f t="shared" si="6"/>
        <v>48.698920405844753</v>
      </c>
      <c r="AS19" s="94">
        <f t="shared" si="7"/>
        <v>24.349460202922376</v>
      </c>
      <c r="AT19" s="27">
        <f t="shared" si="8"/>
        <v>30447.26073659708</v>
      </c>
      <c r="AU19" s="27"/>
      <c r="AV19" s="27"/>
      <c r="AW19" s="94"/>
      <c r="AX19" s="94"/>
      <c r="AY19" s="27"/>
      <c r="AZ19" s="27"/>
      <c r="BA19" s="27"/>
      <c r="BB19" s="18"/>
      <c r="BF19" s="3"/>
      <c r="BI19" s="3"/>
      <c r="BL19" s="3"/>
      <c r="BO19" s="117"/>
      <c r="BS19" s="3"/>
      <c r="BV19" s="3"/>
      <c r="BY19" s="3"/>
      <c r="DV19" s="3"/>
      <c r="DX19" s="38"/>
      <c r="DY19" s="55"/>
      <c r="DZ19" s="38"/>
      <c r="EA19" s="38"/>
      <c r="EB19" s="121"/>
      <c r="EF19" s="3"/>
      <c r="EH19" s="38"/>
      <c r="EI19" s="55"/>
      <c r="EJ19" s="38"/>
      <c r="EK19" s="198"/>
      <c r="EO19" s="3"/>
      <c r="EQ19" s="38"/>
      <c r="ER19" s="55"/>
      <c r="ES19" s="38"/>
      <c r="ET19" s="198"/>
    </row>
    <row r="20" spans="1:151" x14ac:dyDescent="0.2">
      <c r="A20" s="3" t="s">
        <v>41</v>
      </c>
      <c r="B20">
        <v>1179</v>
      </c>
      <c r="C20">
        <v>10</v>
      </c>
      <c r="D20">
        <v>0.34</v>
      </c>
      <c r="E20">
        <v>0.25</v>
      </c>
      <c r="F20" t="s">
        <v>42</v>
      </c>
      <c r="G20" t="s">
        <v>11</v>
      </c>
      <c r="H20" s="20"/>
      <c r="I20" s="21"/>
      <c r="J20">
        <v>295</v>
      </c>
      <c r="K20" s="94">
        <v>104.05</v>
      </c>
      <c r="L20">
        <v>0.25</v>
      </c>
      <c r="M20" s="38">
        <v>73.75</v>
      </c>
      <c r="N20" s="27"/>
      <c r="O20" s="27">
        <f t="shared" si="0"/>
        <v>7673.6875</v>
      </c>
      <c r="P20" s="27"/>
      <c r="Q20" s="27"/>
      <c r="R20" s="27"/>
      <c r="S20" s="27"/>
      <c r="T20" s="18"/>
      <c r="U20">
        <v>2.3999999999999998E-3</v>
      </c>
      <c r="V20">
        <v>0.99760000000000004</v>
      </c>
      <c r="W20" s="94"/>
      <c r="X20" s="94">
        <f t="shared" si="3"/>
        <v>18.416849999999997</v>
      </c>
      <c r="Y20" s="94"/>
      <c r="Z20" s="94"/>
      <c r="AA20" s="94">
        <f t="shared" si="4"/>
        <v>7655.2706500000004</v>
      </c>
      <c r="AB20" s="94"/>
      <c r="AI20" s="18"/>
      <c r="AJ20">
        <v>39</v>
      </c>
      <c r="AK20" s="34">
        <f t="shared" si="5"/>
        <v>4.4520547945205479E-3</v>
      </c>
      <c r="AL20" s="34">
        <f t="shared" si="1"/>
        <v>0.9955479452054794</v>
      </c>
      <c r="AM20" s="94"/>
      <c r="AN20" s="94"/>
      <c r="AO20" s="94"/>
      <c r="AP20" s="27"/>
      <c r="AQ20" s="27"/>
      <c r="AR20" s="94">
        <f t="shared" si="6"/>
        <v>34.081684400684935</v>
      </c>
      <c r="AS20" s="94">
        <f t="shared" si="7"/>
        <v>17.040842200342468</v>
      </c>
      <c r="AT20" s="27">
        <f t="shared" si="8"/>
        <v>7638.2298077996584</v>
      </c>
      <c r="AU20" s="27"/>
      <c r="AV20" s="27"/>
      <c r="AW20" s="94"/>
      <c r="AX20" s="94"/>
      <c r="AY20" s="27"/>
      <c r="AZ20" s="27"/>
      <c r="BA20" s="27"/>
      <c r="BB20" s="18"/>
      <c r="BF20" s="3"/>
      <c r="BI20" s="3"/>
      <c r="BL20" s="3"/>
      <c r="BO20" s="117"/>
      <c r="BP20" t="s">
        <v>270</v>
      </c>
      <c r="BS20" s="3"/>
      <c r="BV20" s="3"/>
      <c r="BY20" s="3"/>
      <c r="DV20" s="3"/>
      <c r="DX20" s="38"/>
      <c r="DY20" s="55"/>
      <c r="DZ20" s="38"/>
      <c r="EA20" s="38"/>
      <c r="EB20" s="121"/>
      <c r="EF20" s="3"/>
      <c r="EH20" s="38"/>
      <c r="EI20" s="55"/>
      <c r="EJ20" s="38"/>
      <c r="EK20" s="198"/>
      <c r="EO20" s="3"/>
      <c r="EQ20" s="38"/>
      <c r="ER20" s="55"/>
      <c r="ES20" s="38"/>
      <c r="ET20" s="198"/>
    </row>
    <row r="21" spans="1:151" x14ac:dyDescent="0.2">
      <c r="A21" s="3" t="s">
        <v>43</v>
      </c>
      <c r="B21">
        <v>1760</v>
      </c>
      <c r="C21">
        <v>7</v>
      </c>
      <c r="D21">
        <v>0.78</v>
      </c>
      <c r="F21" t="s">
        <v>44</v>
      </c>
      <c r="G21" t="s">
        <v>30</v>
      </c>
      <c r="H21" s="20"/>
      <c r="I21" s="21"/>
      <c r="J21">
        <v>7</v>
      </c>
      <c r="K21" s="94">
        <v>104.05</v>
      </c>
      <c r="L21">
        <v>0.78</v>
      </c>
      <c r="M21" s="38">
        <v>5.46</v>
      </c>
      <c r="N21" s="27"/>
      <c r="O21" s="27">
        <f t="shared" si="0"/>
        <v>568.11300000000006</v>
      </c>
      <c r="P21" s="27"/>
      <c r="Q21" s="27"/>
      <c r="R21" s="27"/>
      <c r="S21" s="27"/>
      <c r="T21" s="18"/>
      <c r="U21">
        <v>2.3999999999999998E-3</v>
      </c>
      <c r="V21">
        <v>0.99760000000000004</v>
      </c>
      <c r="W21" s="94"/>
      <c r="X21" s="94">
        <f t="shared" si="3"/>
        <v>1.3634712</v>
      </c>
      <c r="Y21" s="94"/>
      <c r="Z21" s="94"/>
      <c r="AA21" s="94">
        <f t="shared" si="4"/>
        <v>566.74952880000012</v>
      </c>
      <c r="AB21" s="94"/>
      <c r="AI21" s="18"/>
      <c r="AJ21">
        <v>2027</v>
      </c>
      <c r="AK21" s="34">
        <f t="shared" si="5"/>
        <v>0.23139269406392693</v>
      </c>
      <c r="AL21" s="34">
        <f t="shared" si="1"/>
        <v>0.76860730593607307</v>
      </c>
      <c r="AM21" s="94"/>
      <c r="AN21" s="94"/>
      <c r="AO21" s="94"/>
      <c r="AP21" s="27"/>
      <c r="AQ21" s="27"/>
      <c r="AR21" s="94">
        <f t="shared" si="6"/>
        <v>131.14170032849316</v>
      </c>
      <c r="AS21" s="94">
        <f t="shared" si="7"/>
        <v>65.570850164246579</v>
      </c>
      <c r="AT21" s="27">
        <f t="shared" si="8"/>
        <v>501.1786786357535</v>
      </c>
      <c r="AU21" s="27"/>
      <c r="AV21" s="27"/>
      <c r="AW21" s="94"/>
      <c r="AX21" s="94"/>
      <c r="AY21" s="27"/>
      <c r="AZ21" s="27"/>
      <c r="BA21" s="27"/>
      <c r="BB21" s="18"/>
      <c r="BF21" s="3"/>
      <c r="BI21" s="3"/>
      <c r="BL21" s="3"/>
      <c r="BO21" s="117"/>
      <c r="BS21" s="3"/>
      <c r="BV21" s="3"/>
      <c r="BY21" s="3"/>
      <c r="DV21" s="3"/>
      <c r="DX21" s="38"/>
      <c r="DY21" s="55"/>
      <c r="DZ21" s="38"/>
      <c r="EA21" s="38"/>
      <c r="EB21" s="121"/>
      <c r="EF21" s="3"/>
      <c r="EH21" s="38"/>
      <c r="EI21" s="55"/>
      <c r="EJ21" s="38"/>
      <c r="EK21" s="198"/>
      <c r="EO21" s="3"/>
      <c r="EQ21" s="38"/>
      <c r="ER21" s="55"/>
      <c r="ES21" s="38"/>
      <c r="ET21" s="198"/>
    </row>
    <row r="22" spans="1:151" x14ac:dyDescent="0.2">
      <c r="A22" s="3" t="s">
        <v>45</v>
      </c>
      <c r="B22">
        <v>1760</v>
      </c>
      <c r="C22">
        <v>7</v>
      </c>
      <c r="D22">
        <v>14.26</v>
      </c>
      <c r="F22" t="s">
        <v>44</v>
      </c>
      <c r="G22" t="s">
        <v>30</v>
      </c>
      <c r="H22" s="20"/>
      <c r="I22" s="21"/>
      <c r="J22">
        <v>7</v>
      </c>
      <c r="K22" s="94">
        <v>104.05</v>
      </c>
      <c r="L22">
        <v>14.26</v>
      </c>
      <c r="M22" s="38">
        <v>99.82</v>
      </c>
      <c r="N22" s="27"/>
      <c r="O22" s="27">
        <f t="shared" si="0"/>
        <v>10386.271000000001</v>
      </c>
      <c r="P22" s="27"/>
      <c r="Q22" s="27"/>
      <c r="R22" s="27"/>
      <c r="S22" s="27"/>
      <c r="T22" s="18"/>
      <c r="U22">
        <v>2.3999999999999998E-3</v>
      </c>
      <c r="V22">
        <v>0.99760000000000004</v>
      </c>
      <c r="W22" s="94"/>
      <c r="X22" s="94">
        <f t="shared" si="3"/>
        <v>24.927050399999999</v>
      </c>
      <c r="Y22" s="94"/>
      <c r="Z22" s="94"/>
      <c r="AA22" s="94">
        <f t="shared" si="4"/>
        <v>10361.343949600001</v>
      </c>
      <c r="AB22" s="94"/>
      <c r="AI22" s="18"/>
      <c r="AJ22">
        <v>1086</v>
      </c>
      <c r="AK22" s="34">
        <f>$AJ22/8760</f>
        <v>0.12397260273972603</v>
      </c>
      <c r="AL22" s="34">
        <f t="shared" si="1"/>
        <v>0.87602739726027401</v>
      </c>
      <c r="AM22" s="94"/>
      <c r="AN22" s="94"/>
      <c r="AO22" s="94"/>
      <c r="AP22" s="27"/>
      <c r="AQ22" s="27"/>
      <c r="AR22" s="94">
        <f t="shared" si="6"/>
        <v>1284.5227773134247</v>
      </c>
      <c r="AS22" s="94">
        <f t="shared" si="7"/>
        <v>642.26138865671237</v>
      </c>
      <c r="AT22" s="27">
        <f t="shared" si="8"/>
        <v>9719.0825609432886</v>
      </c>
      <c r="AU22" s="27"/>
      <c r="AV22" s="27"/>
      <c r="AW22" s="94"/>
      <c r="AX22" s="94"/>
      <c r="AY22" s="27"/>
      <c r="AZ22" s="27"/>
      <c r="BA22" s="27"/>
      <c r="BB22" s="18"/>
      <c r="BF22" s="3"/>
      <c r="BI22" s="3"/>
      <c r="BL22" s="3"/>
      <c r="BO22" s="117"/>
      <c r="BS22" s="3"/>
      <c r="BV22" s="3"/>
      <c r="BY22" s="3"/>
      <c r="DV22" s="3"/>
      <c r="DX22" s="38"/>
      <c r="DY22" s="55"/>
      <c r="DZ22" s="38"/>
      <c r="EA22" s="38"/>
      <c r="EB22" s="121"/>
      <c r="EF22" s="3"/>
      <c r="EH22" s="38"/>
      <c r="EI22" s="55"/>
      <c r="EJ22" s="38"/>
      <c r="EK22" s="198"/>
      <c r="EO22" s="3"/>
      <c r="EQ22" s="38"/>
      <c r="ER22" s="55"/>
      <c r="ES22" s="38"/>
      <c r="ET22" s="198"/>
    </row>
    <row r="23" spans="1:151" x14ac:dyDescent="0.2">
      <c r="A23" s="3"/>
      <c r="E23" s="11">
        <f>$E5+$E6+$E7+$E8+$E9+$E10+$E11+$E12+$E13+$E14+$E15+$E16+$E17+$E18+$E19+$E20+$E21+$E22</f>
        <v>3.0049999999999999</v>
      </c>
      <c r="H23" s="20"/>
      <c r="I23" s="21"/>
      <c r="M23" s="240">
        <f xml:space="preserve"> SUM(M5:M22)</f>
        <v>5051.28</v>
      </c>
      <c r="T23" s="18"/>
      <c r="AI23" s="18"/>
      <c r="BB23" s="18"/>
      <c r="BF23" s="3"/>
      <c r="BI23" s="3"/>
      <c r="BL23" s="3"/>
      <c r="BO23" s="117"/>
      <c r="BS23" s="3"/>
      <c r="BV23" s="3"/>
      <c r="BY23" s="3"/>
      <c r="DV23" s="3"/>
      <c r="DX23" s="38"/>
      <c r="DY23" s="55"/>
      <c r="DZ23" s="38"/>
      <c r="EA23" s="38"/>
      <c r="EB23" s="121"/>
      <c r="EF23" s="3"/>
      <c r="EH23" s="38"/>
      <c r="EI23" s="55"/>
      <c r="EJ23" s="38"/>
      <c r="EK23" s="198"/>
      <c r="EO23" s="3"/>
      <c r="EQ23" s="38"/>
      <c r="ER23" s="55"/>
      <c r="ES23" s="38"/>
      <c r="ET23" s="198"/>
    </row>
    <row r="24" spans="1:151" ht="19" x14ac:dyDescent="0.25">
      <c r="A24" s="24" t="s">
        <v>412</v>
      </c>
      <c r="B24" s="11"/>
      <c r="C24" s="11"/>
      <c r="D24" s="11"/>
      <c r="E24" s="11"/>
      <c r="F24" s="11"/>
      <c r="G24" s="11"/>
      <c r="H24" s="20"/>
      <c r="I24" s="21"/>
      <c r="J24" s="25">
        <f xml:space="preserve"> SUM(J5:J22)</f>
        <v>7889</v>
      </c>
      <c r="K24" s="136"/>
      <c r="L24" s="11"/>
      <c r="M24" s="241"/>
      <c r="N24" s="11"/>
      <c r="O24" s="11"/>
      <c r="P24" s="11"/>
      <c r="Q24" s="11"/>
      <c r="R24" s="11"/>
      <c r="S24" s="11"/>
      <c r="T24" s="18"/>
      <c r="AI24" s="18"/>
      <c r="AJ24" s="11"/>
      <c r="AK24" s="11"/>
      <c r="AL24" s="11"/>
      <c r="AM24" s="11"/>
      <c r="AN24" s="11"/>
      <c r="AO24" s="11"/>
      <c r="AP24" s="11"/>
      <c r="AQ24" s="11"/>
      <c r="AR24" s="11"/>
      <c r="AS24" s="11"/>
      <c r="AT24" s="11"/>
      <c r="AU24" s="11"/>
      <c r="AV24" s="11"/>
      <c r="AW24" s="11"/>
      <c r="AX24" s="11"/>
      <c r="AY24" s="11"/>
      <c r="AZ24" s="11"/>
      <c r="BA24" s="11"/>
      <c r="BB24" s="18"/>
      <c r="BC24" s="11"/>
      <c r="BD24" s="11"/>
      <c r="BE24" s="11"/>
      <c r="BF24" s="48"/>
      <c r="BG24" s="11"/>
      <c r="BH24" s="11"/>
      <c r="BI24" s="48"/>
      <c r="BJ24" s="11"/>
      <c r="BK24" s="11"/>
      <c r="BL24" s="48"/>
      <c r="BM24" s="11"/>
      <c r="BN24" s="11"/>
      <c r="BO24" s="117"/>
      <c r="BP24" s="48"/>
      <c r="BQ24" s="11"/>
      <c r="BR24" s="11"/>
      <c r="BS24" s="48"/>
      <c r="BT24" s="11"/>
      <c r="BU24" s="11"/>
      <c r="BV24" s="48"/>
      <c r="BW24" s="11"/>
      <c r="BX24" s="11"/>
      <c r="BY24" s="48"/>
      <c r="BZ24" s="11"/>
      <c r="CA24" s="11"/>
      <c r="CC24" s="48"/>
      <c r="CD24" s="125"/>
      <c r="CE24" s="139"/>
      <c r="CF24" s="139"/>
      <c r="CG24" s="139"/>
      <c r="CH24" s="139"/>
      <c r="CI24" s="139"/>
      <c r="CJ24" s="174"/>
      <c r="CK24" s="139"/>
      <c r="CL24" s="139"/>
      <c r="CM24" s="139"/>
      <c r="CN24" s="139"/>
      <c r="CO24" s="139"/>
      <c r="CP24" s="174"/>
      <c r="CQ24" s="139"/>
      <c r="CR24" s="139"/>
      <c r="CS24" s="139"/>
      <c r="CT24" s="139"/>
      <c r="CU24" s="139"/>
      <c r="CV24" s="139"/>
      <c r="CX24" s="139"/>
      <c r="CY24" s="139"/>
      <c r="CZ24" s="139"/>
      <c r="DA24" s="139"/>
      <c r="DB24" s="139"/>
      <c r="DC24" s="139"/>
      <c r="DD24" s="139"/>
      <c r="DE24" s="139"/>
      <c r="DF24" s="139"/>
      <c r="DG24" s="139"/>
      <c r="DH24" s="139"/>
      <c r="DI24" s="139"/>
      <c r="DJ24" s="139"/>
      <c r="DK24" s="139"/>
      <c r="DL24" s="139"/>
      <c r="DM24" s="139"/>
      <c r="DN24" s="139"/>
      <c r="DO24" s="139"/>
      <c r="DP24" s="139"/>
      <c r="DQ24" s="139"/>
      <c r="DS24" s="11"/>
      <c r="DT24" s="11"/>
      <c r="DU24" s="39"/>
      <c r="DV24" s="48"/>
      <c r="DW24" s="11"/>
      <c r="DX24" s="39"/>
      <c r="DY24" s="56"/>
      <c r="DZ24" s="39"/>
      <c r="EA24" s="39"/>
      <c r="EB24" s="121"/>
      <c r="EC24" s="11"/>
      <c r="ED24" s="11"/>
      <c r="EE24" s="39"/>
      <c r="EF24" s="48"/>
      <c r="EG24" s="11"/>
      <c r="EH24" s="39"/>
      <c r="EI24" s="56"/>
      <c r="EJ24" s="39"/>
      <c r="EK24" s="194"/>
      <c r="EL24" s="11"/>
      <c r="EM24" s="11"/>
      <c r="EN24" s="39"/>
      <c r="EO24" s="48"/>
      <c r="EP24" s="11"/>
      <c r="EQ24" s="39"/>
      <c r="ER24" s="56"/>
      <c r="ES24" s="39"/>
      <c r="ET24" s="194"/>
    </row>
    <row r="25" spans="1:151" x14ac:dyDescent="0.2">
      <c r="A25" s="3" t="s">
        <v>93</v>
      </c>
      <c r="B25">
        <v>1362</v>
      </c>
      <c r="C25">
        <v>101</v>
      </c>
      <c r="D25">
        <v>14.28</v>
      </c>
      <c r="E25">
        <v>0.57999999999999996</v>
      </c>
      <c r="F25" s="2">
        <f t="shared" ref="F25:F36" si="9">B25*E25</f>
        <v>789.95999999999992</v>
      </c>
      <c r="G25" t="s">
        <v>11</v>
      </c>
      <c r="H25" s="20"/>
      <c r="I25" s="21"/>
      <c r="J25">
        <v>790</v>
      </c>
      <c r="K25" s="94">
        <v>104.05</v>
      </c>
      <c r="L25">
        <v>14.28</v>
      </c>
      <c r="M25" s="38">
        <v>11281.2</v>
      </c>
      <c r="N25" s="27"/>
      <c r="O25" s="27">
        <f t="shared" ref="O25:O50" si="10">J25*K25*L25</f>
        <v>1173808.8599999999</v>
      </c>
      <c r="P25" s="27"/>
      <c r="Q25" s="27"/>
      <c r="R25" s="27">
        <f>O25+O26+O27+O28+O29+O30+O31+O32+O33+O34+O35+O36+O37+O38+O39+O40+O41+O42+O43+O44+O45+O46+O47+O48+O49+O50</f>
        <v>4654158.5809999993</v>
      </c>
      <c r="S25" s="27"/>
      <c r="T25" s="18"/>
      <c r="U25">
        <v>2.3999999999999998E-3</v>
      </c>
      <c r="V25">
        <v>0.99760000000000004</v>
      </c>
      <c r="W25" s="94"/>
      <c r="X25" s="94">
        <f t="shared" ref="X25:X50" si="11" xml:space="preserve"> O25 * U25</f>
        <v>2817.1412639999994</v>
      </c>
      <c r="Y25" s="94"/>
      <c r="Z25" s="94"/>
      <c r="AA25" s="94">
        <f t="shared" ref="AA25:AA50" si="12" xml:space="preserve"> O25 * V25</f>
        <v>1170991.7187359999</v>
      </c>
      <c r="AB25" s="94"/>
      <c r="AC25" s="27"/>
      <c r="AD25" s="27">
        <f xml:space="preserve"> R25 * U25</f>
        <v>11169.980594399998</v>
      </c>
      <c r="AE25" s="27"/>
      <c r="AF25" s="27"/>
      <c r="AG25" s="27">
        <f xml:space="preserve"> R25 * V25</f>
        <v>4642988.6004055999</v>
      </c>
      <c r="AH25" s="27"/>
      <c r="AI25" s="18"/>
      <c r="AJ25">
        <v>426</v>
      </c>
      <c r="AK25" s="34">
        <f>$AJ25/8760</f>
        <v>4.8630136986301371E-2</v>
      </c>
      <c r="AL25" s="34">
        <f t="shared" ref="AL25:AL50" si="13">1- AK25</f>
        <v>0.95136986301369864</v>
      </c>
      <c r="AM25" s="94"/>
      <c r="AN25" s="94"/>
      <c r="AO25" s="94"/>
      <c r="AP25" s="27"/>
      <c r="AQ25" s="27"/>
      <c r="AR25" s="94">
        <f t="shared" ref="AR25:AR50" si="14">$AK25*$AA25</f>
        <v>56945.487691956158</v>
      </c>
      <c r="AS25" s="94">
        <f t="shared" ref="AS25:AS50" si="15" xml:space="preserve"> AR25 / 2</f>
        <v>28472.743845978079</v>
      </c>
      <c r="AT25" s="27">
        <f>$AL25*$AA25 + AS25</f>
        <v>1142518.9748900218</v>
      </c>
      <c r="AU25" s="27">
        <f>SUM(AS25:AS50)</f>
        <v>49820.911851581179</v>
      </c>
      <c r="AV25" s="27">
        <f>SUM(AT25:AT50)</f>
        <v>4593167.6885540187</v>
      </c>
      <c r="AW25" s="94"/>
      <c r="AX25" s="94"/>
      <c r="AY25" s="27"/>
      <c r="AZ25" s="27"/>
      <c r="BA25" s="27"/>
      <c r="BB25" s="18"/>
      <c r="BC25" s="34">
        <v>0.1152</v>
      </c>
      <c r="BD25" s="34">
        <v>5.4199999999999998E-2</v>
      </c>
      <c r="BE25">
        <v>2.3E-2</v>
      </c>
      <c r="BF25" s="47"/>
      <c r="BG25" s="27"/>
      <c r="BH25" s="27"/>
      <c r="BI25" s="47">
        <f>$AV25*$BC25</f>
        <v>529132.91772142297</v>
      </c>
      <c r="BJ25" s="27">
        <f>$AV25*$BD25</f>
        <v>248949.6887196278</v>
      </c>
      <c r="BK25" s="27">
        <f>$AV25*$BE25</f>
        <v>105642.85683674243</v>
      </c>
      <c r="BL25" s="47"/>
      <c r="BM25" s="27"/>
      <c r="BN25" s="27"/>
      <c r="BO25" s="117"/>
      <c r="BP25" s="34">
        <f xml:space="preserve"> 1 - BC25</f>
        <v>0.88480000000000003</v>
      </c>
      <c r="BQ25" s="34">
        <f xml:space="preserve"> 1 - BD25</f>
        <v>0.94579999999999997</v>
      </c>
      <c r="BR25">
        <f xml:space="preserve"> 1 - BE25</f>
        <v>0.97699999999999998</v>
      </c>
      <c r="BS25" s="47"/>
      <c r="BT25" s="27"/>
      <c r="BU25" s="27"/>
      <c r="BV25" s="47">
        <f xml:space="preserve"> AV25 * BP25</f>
        <v>4064034.7708325959</v>
      </c>
      <c r="BW25" s="27">
        <f xml:space="preserve"> AV25 * BQ25</f>
        <v>4344217.9998343904</v>
      </c>
      <c r="BX25" s="27">
        <f xml:space="preserve"> AV25 * BR25</f>
        <v>4487524.831717276</v>
      </c>
      <c r="BY25" s="47"/>
      <c r="BZ25" s="27"/>
      <c r="CA25" s="27"/>
      <c r="CC25">
        <f xml:space="preserve"> 1 - 0.32</f>
        <v>0.67999999999999994</v>
      </c>
      <c r="CD25">
        <f>1-0.68</f>
        <v>0.31999999999999995</v>
      </c>
      <c r="CK25" s="27">
        <f xml:space="preserve"> BV25 * CC25</f>
        <v>2763543.644166165</v>
      </c>
      <c r="CL25" s="27">
        <f xml:space="preserve"> BV25 * CD25</f>
        <v>1300491.1266664304</v>
      </c>
      <c r="CM25" s="27">
        <f xml:space="preserve"> BW25 * CC25</f>
        <v>2954068.2398873852</v>
      </c>
      <c r="CN25" s="27">
        <f xml:space="preserve"> BW25 * CD25</f>
        <v>1390149.7599470047</v>
      </c>
      <c r="CO25" s="27">
        <f xml:space="preserve"> BX25 * CC25</f>
        <v>3051516.8855677475</v>
      </c>
      <c r="CP25" s="27">
        <f xml:space="preserve"> BX25 * CD25</f>
        <v>1436007.946149528</v>
      </c>
      <c r="CX25">
        <f xml:space="preserve"> 1 - 0.01</f>
        <v>0.99</v>
      </c>
      <c r="CY25">
        <v>0.75</v>
      </c>
      <c r="DC25" s="27">
        <f xml:space="preserve"> CK25 * CX25</f>
        <v>2735908.2077245032</v>
      </c>
      <c r="DD25" s="27">
        <f xml:space="preserve"> CM25 * CX25</f>
        <v>2924527.5574885113</v>
      </c>
      <c r="DE25" s="27">
        <f xml:space="preserve"> CO25 * CX25</f>
        <v>3021001.7167120702</v>
      </c>
      <c r="DL25" s="27">
        <f xml:space="preserve"> CK25 * CY25</f>
        <v>2072657.7331246238</v>
      </c>
      <c r="DM25" s="27">
        <f xml:space="preserve"> CM25 * CY25</f>
        <v>2215551.179915539</v>
      </c>
      <c r="DN25" s="27">
        <f xml:space="preserve"> CO25 * CY25</f>
        <v>2288637.6641758108</v>
      </c>
      <c r="DS25" s="27"/>
      <c r="DT25" s="27"/>
      <c r="DU25" s="27"/>
      <c r="DV25" s="47">
        <f>$BI25+$AU25</f>
        <v>578953.82957300416</v>
      </c>
      <c r="DW25" s="27">
        <f>$BJ25+$AU25</f>
        <v>298770.60057120898</v>
      </c>
      <c r="DX25" s="42">
        <f>$BK25+$AU25</f>
        <v>155463.76868832362</v>
      </c>
      <c r="DY25" s="54"/>
      <c r="DZ25" s="42"/>
      <c r="EA25" s="42"/>
      <c r="EB25" s="121" t="s">
        <v>374</v>
      </c>
      <c r="EC25" s="27"/>
      <c r="ED25" s="27"/>
      <c r="EE25" s="27"/>
      <c r="EF25" s="47">
        <f t="shared" ref="EF25:EH25" si="16" xml:space="preserve"> DL25 + DV25</f>
        <v>2651611.562697628</v>
      </c>
      <c r="EG25" s="27">
        <f xml:space="preserve"> DM25 + DW25</f>
        <v>2514321.7804867481</v>
      </c>
      <c r="EH25" s="42">
        <f t="shared" si="16"/>
        <v>2444101.4328641342</v>
      </c>
      <c r="EI25" s="54"/>
      <c r="EJ25" s="42"/>
      <c r="EK25" s="197"/>
      <c r="EL25" s="27"/>
      <c r="EM25" s="27"/>
      <c r="EN25" s="27"/>
      <c r="EO25" s="47">
        <f xml:space="preserve"> DC25 + DV25</f>
        <v>3314862.0372975073</v>
      </c>
      <c r="EP25" s="27">
        <f xml:space="preserve"> DD25 + DW25</f>
        <v>3223298.1580597204</v>
      </c>
      <c r="EQ25" s="42">
        <f xml:space="preserve"> DE25 + DX25</f>
        <v>3176465.4854003936</v>
      </c>
      <c r="ER25" s="54"/>
      <c r="ES25" s="42"/>
      <c r="ET25" s="197"/>
    </row>
    <row r="26" spans="1:151" x14ac:dyDescent="0.2">
      <c r="A26" s="3" t="s">
        <v>48</v>
      </c>
      <c r="B26">
        <v>2369</v>
      </c>
      <c r="C26">
        <v>1327</v>
      </c>
      <c r="D26">
        <v>0.63</v>
      </c>
      <c r="E26">
        <v>0.32</v>
      </c>
      <c r="F26" s="2">
        <f t="shared" si="9"/>
        <v>758.08</v>
      </c>
      <c r="G26" t="s">
        <v>11</v>
      </c>
      <c r="H26" s="20"/>
      <c r="I26" s="21"/>
      <c r="J26">
        <v>758</v>
      </c>
      <c r="K26" s="94">
        <v>104.05</v>
      </c>
      <c r="L26">
        <v>0.63</v>
      </c>
      <c r="M26" s="38">
        <v>477.54</v>
      </c>
      <c r="N26" s="27"/>
      <c r="O26" s="27">
        <f t="shared" si="10"/>
        <v>49688.036999999997</v>
      </c>
      <c r="P26" s="27"/>
      <c r="Q26" s="27"/>
      <c r="R26" s="142">
        <f xml:space="preserve"> R25 / 1000</f>
        <v>4654.1585809999997</v>
      </c>
      <c r="S26" s="27"/>
      <c r="T26" s="18"/>
      <c r="U26">
        <v>2.3999999999999998E-3</v>
      </c>
      <c r="V26">
        <v>0.99760000000000004</v>
      </c>
      <c r="W26" s="94"/>
      <c r="X26" s="94">
        <f t="shared" si="11"/>
        <v>119.25128879999998</v>
      </c>
      <c r="Y26" s="94"/>
      <c r="Z26" s="94"/>
      <c r="AA26" s="94">
        <f t="shared" si="12"/>
        <v>49568.785711199998</v>
      </c>
      <c r="AB26" s="94"/>
      <c r="AI26" s="18"/>
      <c r="AJ26">
        <v>471</v>
      </c>
      <c r="AK26" s="34">
        <f t="shared" ref="AK26:AK50" si="17">$AJ26/8760</f>
        <v>5.3767123287671234E-2</v>
      </c>
      <c r="AL26" s="34">
        <f t="shared" si="13"/>
        <v>0.94623287671232881</v>
      </c>
      <c r="AM26" s="94"/>
      <c r="AN26" s="94"/>
      <c r="AO26" s="94"/>
      <c r="AP26" s="27"/>
      <c r="AQ26" s="27"/>
      <c r="AR26" s="94">
        <f t="shared" si="14"/>
        <v>2665.1710125542463</v>
      </c>
      <c r="AS26" s="94">
        <f t="shared" si="15"/>
        <v>1332.5855062771232</v>
      </c>
      <c r="AT26" s="27">
        <f t="shared" ref="AT26:AT50" si="18">$AL26*$AA26 + AS26</f>
        <v>48236.200204922876</v>
      </c>
      <c r="AV26" s="27"/>
      <c r="AW26" s="94"/>
      <c r="AX26" s="94"/>
      <c r="AY26" s="27"/>
      <c r="AZ26" s="27"/>
      <c r="BA26" s="27"/>
      <c r="BB26" s="18"/>
      <c r="BO26" s="117"/>
      <c r="BV26" s="251"/>
      <c r="BW26" s="251"/>
      <c r="BX26" s="251"/>
      <c r="BY26" s="251"/>
      <c r="DX26" s="38"/>
      <c r="DY26" s="38"/>
      <c r="DZ26" s="38"/>
      <c r="EA26" s="38"/>
      <c r="EB26" s="38" t="s">
        <v>373</v>
      </c>
      <c r="EC26" s="38"/>
      <c r="ED26" s="238"/>
      <c r="EE26" s="238"/>
      <c r="EF26" s="38"/>
      <c r="EG26" s="238">
        <v>2514.3200000000002</v>
      </c>
      <c r="EH26" s="38"/>
      <c r="EI26" s="238"/>
      <c r="EJ26" s="38"/>
      <c r="EK26" s="237"/>
      <c r="EL26" s="38"/>
      <c r="EM26" s="38"/>
      <c r="EN26" s="38"/>
      <c r="EO26" s="38"/>
      <c r="EP26" s="38"/>
      <c r="EQ26" s="38"/>
      <c r="ER26" s="38"/>
      <c r="ES26" s="38"/>
      <c r="ET26" s="38"/>
      <c r="EU26" s="38"/>
    </row>
    <row r="27" spans="1:151" x14ac:dyDescent="0.2">
      <c r="A27" s="3" t="s">
        <v>49</v>
      </c>
      <c r="B27">
        <v>1522</v>
      </c>
      <c r="C27">
        <v>1386</v>
      </c>
      <c r="D27">
        <v>1.43</v>
      </c>
      <c r="E27">
        <v>0.42299999999999999</v>
      </c>
      <c r="F27" s="2">
        <f t="shared" si="9"/>
        <v>643.80599999999993</v>
      </c>
      <c r="G27" t="s">
        <v>11</v>
      </c>
      <c r="H27" s="20"/>
      <c r="I27" s="21"/>
      <c r="J27">
        <v>644</v>
      </c>
      <c r="K27" s="94">
        <v>104.05</v>
      </c>
      <c r="L27">
        <v>1.43</v>
      </c>
      <c r="M27" s="38">
        <v>920.92</v>
      </c>
      <c r="N27" s="27"/>
      <c r="O27" s="27">
        <f t="shared" si="10"/>
        <v>95821.725999999995</v>
      </c>
      <c r="P27" s="27"/>
      <c r="Q27" s="27"/>
      <c r="R27" s="27"/>
      <c r="S27" s="27"/>
      <c r="T27" s="18"/>
      <c r="U27">
        <v>2.3999999999999998E-3</v>
      </c>
      <c r="V27">
        <v>0.99760000000000004</v>
      </c>
      <c r="W27" s="94"/>
      <c r="X27" s="94">
        <f t="shared" si="11"/>
        <v>229.97214239999997</v>
      </c>
      <c r="Y27" s="94"/>
      <c r="Z27" s="94"/>
      <c r="AA27" s="94">
        <f t="shared" si="12"/>
        <v>95591.753857599993</v>
      </c>
      <c r="AB27" s="94"/>
      <c r="AI27" s="18"/>
      <c r="AJ27">
        <v>0</v>
      </c>
      <c r="AK27" s="34">
        <f t="shared" si="17"/>
        <v>0</v>
      </c>
      <c r="AL27" s="34">
        <f t="shared" si="13"/>
        <v>1</v>
      </c>
      <c r="AM27" s="94"/>
      <c r="AN27" s="94"/>
      <c r="AO27" s="94"/>
      <c r="AP27" s="27"/>
      <c r="AQ27" s="27"/>
      <c r="AR27" s="94">
        <f t="shared" si="14"/>
        <v>0</v>
      </c>
      <c r="AS27" s="94">
        <f t="shared" si="15"/>
        <v>0</v>
      </c>
      <c r="AT27" s="27">
        <f t="shared" si="18"/>
        <v>95591.753857599993</v>
      </c>
      <c r="AU27" s="27"/>
      <c r="AV27" s="27"/>
      <c r="AW27" s="94"/>
      <c r="AX27" s="94"/>
      <c r="AY27" s="27"/>
      <c r="AZ27" s="27"/>
      <c r="BA27" s="27"/>
      <c r="BB27" s="18"/>
      <c r="BO27" s="117"/>
      <c r="BV27" s="251"/>
      <c r="BW27" s="251"/>
      <c r="BX27" s="251"/>
      <c r="BY27" s="251"/>
      <c r="DK27" s="260"/>
      <c r="DL27" s="260"/>
      <c r="DM27" s="260"/>
      <c r="DN27" s="260"/>
      <c r="DO27" s="260"/>
      <c r="DX27" s="38"/>
      <c r="DY27" s="38"/>
      <c r="DZ27" s="38"/>
      <c r="EA27" s="38"/>
      <c r="EB27" s="38"/>
      <c r="EC27" s="38"/>
      <c r="ED27" s="38"/>
      <c r="EF27" s="268"/>
      <c r="EG27" s="268"/>
      <c r="EH27" s="268"/>
      <c r="EI27" s="268"/>
      <c r="EJ27" s="38"/>
      <c r="EK27" s="38"/>
      <c r="EL27" s="38"/>
      <c r="EM27" s="38"/>
      <c r="EN27" s="38"/>
      <c r="EO27" s="38"/>
      <c r="EP27" s="38"/>
      <c r="EQ27" s="38"/>
      <c r="ER27" s="38"/>
      <c r="ES27" s="38"/>
      <c r="ET27" s="38"/>
    </row>
    <row r="28" spans="1:151" x14ac:dyDescent="0.2">
      <c r="A28" s="3" t="s">
        <v>50</v>
      </c>
      <c r="B28">
        <v>1607</v>
      </c>
      <c r="C28">
        <v>1723</v>
      </c>
      <c r="D28">
        <v>0.67</v>
      </c>
      <c r="E28">
        <v>0.66</v>
      </c>
      <c r="F28" s="2">
        <f t="shared" si="9"/>
        <v>1060.6200000000001</v>
      </c>
      <c r="G28" t="s">
        <v>11</v>
      </c>
      <c r="H28" s="20"/>
      <c r="I28" s="21"/>
      <c r="J28">
        <v>1061</v>
      </c>
      <c r="K28" s="94">
        <v>104.05</v>
      </c>
      <c r="L28">
        <v>0.67</v>
      </c>
      <c r="M28" s="38">
        <v>710.87</v>
      </c>
      <c r="N28" s="27"/>
      <c r="O28" s="27">
        <f t="shared" si="10"/>
        <v>73966.02350000001</v>
      </c>
      <c r="P28" s="27"/>
      <c r="Q28" s="27"/>
      <c r="R28" s="27"/>
      <c r="S28" s="27"/>
      <c r="T28" s="18"/>
      <c r="U28">
        <v>2.3999999999999998E-3</v>
      </c>
      <c r="V28">
        <v>0.99760000000000004</v>
      </c>
      <c r="W28" s="94"/>
      <c r="X28" s="94">
        <f t="shared" si="11"/>
        <v>177.51845640000002</v>
      </c>
      <c r="Y28" s="94"/>
      <c r="Z28" s="94"/>
      <c r="AA28" s="94">
        <f t="shared" si="12"/>
        <v>73788.505043600017</v>
      </c>
      <c r="AB28" s="94"/>
      <c r="AI28" s="18"/>
      <c r="AJ28">
        <v>121</v>
      </c>
      <c r="AK28" s="34">
        <f t="shared" si="17"/>
        <v>1.3812785388127854E-2</v>
      </c>
      <c r="AL28" s="34">
        <f t="shared" si="13"/>
        <v>0.9861872146118722</v>
      </c>
      <c r="AM28" s="94"/>
      <c r="AN28" s="94"/>
      <c r="AO28" s="94"/>
      <c r="AP28" s="27"/>
      <c r="AQ28" s="27"/>
      <c r="AR28" s="94">
        <f t="shared" si="14"/>
        <v>1019.2247842780367</v>
      </c>
      <c r="AS28" s="94">
        <f t="shared" si="15"/>
        <v>509.61239213901837</v>
      </c>
      <c r="AT28" s="27">
        <f t="shared" si="18"/>
        <v>73278.892651461007</v>
      </c>
      <c r="AU28" s="27"/>
      <c r="AV28" s="27"/>
      <c r="AW28" s="94"/>
      <c r="AX28" s="94"/>
      <c r="AY28" s="27"/>
      <c r="AZ28" s="27"/>
      <c r="BA28" s="27"/>
      <c r="BB28" s="18"/>
      <c r="BO28" s="117"/>
      <c r="BV28" s="251"/>
      <c r="BW28" s="251"/>
      <c r="BX28" s="251"/>
      <c r="BY28" s="251"/>
      <c r="CC28" s="172" t="s">
        <v>289</v>
      </c>
      <c r="CD28" s="172"/>
      <c r="CE28" s="173"/>
      <c r="CF28" s="173"/>
      <c r="CG28" s="173"/>
      <c r="CH28" s="173"/>
      <c r="CI28" s="173"/>
      <c r="CJ28" s="173"/>
      <c r="CK28" s="173"/>
      <c r="CL28" s="173"/>
      <c r="CM28" s="173"/>
      <c r="CN28" s="173"/>
      <c r="CO28" s="173"/>
      <c r="CP28" s="173"/>
      <c r="CQ28" s="173"/>
      <c r="CR28" s="173"/>
      <c r="DK28" s="260"/>
      <c r="DL28" s="260"/>
      <c r="DM28" s="260"/>
      <c r="DN28" s="260"/>
      <c r="DO28" s="260"/>
      <c r="DX28" s="38"/>
      <c r="DY28" s="38"/>
      <c r="DZ28" s="38"/>
      <c r="EA28" s="38"/>
      <c r="EB28" s="38"/>
      <c r="EC28" s="38"/>
      <c r="ED28" s="38"/>
      <c r="EE28" s="38"/>
      <c r="EF28" s="268"/>
      <c r="EG28" s="268"/>
      <c r="EH28" s="268"/>
      <c r="EI28" s="268"/>
      <c r="EJ28" s="38"/>
      <c r="EK28" s="38"/>
      <c r="EL28" s="38"/>
      <c r="EM28" s="38"/>
      <c r="EN28" s="38"/>
      <c r="EO28" s="38"/>
      <c r="EP28" s="38"/>
      <c r="EQ28" s="38"/>
      <c r="ER28" s="38"/>
      <c r="ES28" s="38"/>
      <c r="ET28" s="38"/>
    </row>
    <row r="29" spans="1:151" ht="17" x14ac:dyDescent="0.2">
      <c r="A29" s="3" t="s">
        <v>51</v>
      </c>
      <c r="B29">
        <v>1212</v>
      </c>
      <c r="C29">
        <v>741</v>
      </c>
      <c r="D29">
        <v>6.44</v>
      </c>
      <c r="E29">
        <v>0.95</v>
      </c>
      <c r="F29" s="2">
        <f t="shared" si="9"/>
        <v>1151.3999999999999</v>
      </c>
      <c r="G29" t="s">
        <v>11</v>
      </c>
      <c r="H29" s="20"/>
      <c r="I29" s="21"/>
      <c r="J29">
        <v>1151</v>
      </c>
      <c r="K29" s="94">
        <v>104.05</v>
      </c>
      <c r="L29">
        <v>6.44</v>
      </c>
      <c r="M29" s="38">
        <v>7412.44</v>
      </c>
      <c r="N29" s="27"/>
      <c r="O29" s="27">
        <f t="shared" si="10"/>
        <v>771264.3820000001</v>
      </c>
      <c r="P29" s="27"/>
      <c r="Q29" s="27"/>
      <c r="R29" s="27"/>
      <c r="S29" s="27"/>
      <c r="T29" s="18"/>
      <c r="U29">
        <v>2.3999999999999998E-3</v>
      </c>
      <c r="V29">
        <v>0.99760000000000004</v>
      </c>
      <c r="W29" s="94"/>
      <c r="X29" s="94">
        <f t="shared" si="11"/>
        <v>1851.0345168000001</v>
      </c>
      <c r="Y29" s="94"/>
      <c r="Z29" s="94"/>
      <c r="AA29" s="94">
        <f t="shared" si="12"/>
        <v>769413.34748320014</v>
      </c>
      <c r="AB29" s="94"/>
      <c r="AI29" s="18"/>
      <c r="AJ29">
        <v>2</v>
      </c>
      <c r="AK29" s="34">
        <f t="shared" si="17"/>
        <v>2.2831050228310502E-4</v>
      </c>
      <c r="AL29" s="34">
        <f t="shared" si="13"/>
        <v>0.99977168949771689</v>
      </c>
      <c r="AM29" s="94"/>
      <c r="AN29" s="94"/>
      <c r="AO29" s="94"/>
      <c r="AP29" s="27"/>
      <c r="AQ29" s="27"/>
      <c r="AR29" s="94">
        <f t="shared" si="14"/>
        <v>175.66514782721464</v>
      </c>
      <c r="AS29" s="94">
        <f t="shared" si="15"/>
        <v>87.83257391360732</v>
      </c>
      <c r="AT29" s="27">
        <f t="shared" si="18"/>
        <v>769325.51490928652</v>
      </c>
      <c r="AU29" s="27"/>
      <c r="AV29" s="27"/>
      <c r="AW29" s="94"/>
      <c r="AX29" s="94"/>
      <c r="AY29" s="27"/>
      <c r="AZ29" s="27"/>
      <c r="BA29" s="27"/>
      <c r="BB29" s="18"/>
      <c r="BO29" s="117"/>
      <c r="BV29" s="251"/>
      <c r="BW29" s="251"/>
      <c r="BX29" s="251"/>
      <c r="BY29" s="251"/>
      <c r="CC29" s="171" t="s">
        <v>93</v>
      </c>
      <c r="DK29" s="260"/>
      <c r="DL29" s="260"/>
      <c r="DM29" s="260"/>
      <c r="DN29" s="260"/>
      <c r="DO29" s="260"/>
      <c r="DX29" s="38"/>
      <c r="DY29" s="38"/>
      <c r="DZ29" s="38"/>
      <c r="EA29" s="38"/>
      <c r="EB29" s="38"/>
      <c r="EC29" s="38"/>
      <c r="ED29" s="38"/>
      <c r="EE29" s="38"/>
      <c r="EF29" s="268"/>
      <c r="EG29" s="268"/>
      <c r="EH29" s="268"/>
      <c r="EI29" s="268"/>
      <c r="EJ29" s="38"/>
      <c r="EK29" s="38"/>
      <c r="EL29" s="38"/>
      <c r="EM29" s="38"/>
      <c r="EN29" s="38"/>
      <c r="EO29" s="38"/>
      <c r="EP29" s="38"/>
      <c r="EQ29" s="38"/>
      <c r="ER29" s="38"/>
      <c r="ES29" s="38"/>
      <c r="ET29" s="38"/>
    </row>
    <row r="30" spans="1:151" x14ac:dyDescent="0.2">
      <c r="A30" s="3" t="s">
        <v>52</v>
      </c>
      <c r="B30">
        <v>1569</v>
      </c>
      <c r="C30">
        <v>87</v>
      </c>
      <c r="D30">
        <v>1.47</v>
      </c>
      <c r="E30">
        <v>0.21</v>
      </c>
      <c r="F30" s="2">
        <f t="shared" si="9"/>
        <v>329.49</v>
      </c>
      <c r="G30" t="s">
        <v>11</v>
      </c>
      <c r="H30" s="20"/>
      <c r="I30" s="21"/>
      <c r="J30">
        <v>329</v>
      </c>
      <c r="K30" s="94">
        <v>104.05</v>
      </c>
      <c r="L30">
        <v>1.47</v>
      </c>
      <c r="M30" s="38">
        <v>483.63</v>
      </c>
      <c r="N30" s="27"/>
      <c r="O30" s="27">
        <f t="shared" si="10"/>
        <v>50321.701499999996</v>
      </c>
      <c r="P30" s="27"/>
      <c r="Q30" s="27"/>
      <c r="R30" s="27"/>
      <c r="S30" s="27"/>
      <c r="T30" s="18"/>
      <c r="U30">
        <v>2.3999999999999998E-3</v>
      </c>
      <c r="V30">
        <v>0.99760000000000004</v>
      </c>
      <c r="W30" s="94"/>
      <c r="X30" s="94">
        <f t="shared" si="11"/>
        <v>120.77208359999997</v>
      </c>
      <c r="Y30" s="94"/>
      <c r="Z30" s="94"/>
      <c r="AA30" s="94">
        <f t="shared" si="12"/>
        <v>50200.929416399995</v>
      </c>
      <c r="AB30" s="94"/>
      <c r="AI30" s="18"/>
      <c r="AJ30">
        <v>0</v>
      </c>
      <c r="AK30" s="34">
        <f t="shared" si="17"/>
        <v>0</v>
      </c>
      <c r="AL30" s="34">
        <f t="shared" si="13"/>
        <v>1</v>
      </c>
      <c r="AM30" s="94"/>
      <c r="AN30" s="94"/>
      <c r="AO30" s="94"/>
      <c r="AP30" s="27"/>
      <c r="AQ30" s="27"/>
      <c r="AR30" s="94">
        <f t="shared" si="14"/>
        <v>0</v>
      </c>
      <c r="AS30" s="94">
        <f t="shared" si="15"/>
        <v>0</v>
      </c>
      <c r="AT30" s="27">
        <f t="shared" si="18"/>
        <v>50200.929416399995</v>
      </c>
      <c r="AU30" s="27"/>
      <c r="AV30" s="27"/>
      <c r="AW30" s="94"/>
      <c r="AX30" s="94"/>
      <c r="AY30" s="27"/>
      <c r="AZ30" s="27"/>
      <c r="BA30" s="27"/>
      <c r="BB30" s="18"/>
      <c r="BO30" s="117"/>
      <c r="BV30" s="251"/>
      <c r="BW30" s="251"/>
      <c r="BX30" s="251"/>
      <c r="BY30" s="251"/>
      <c r="CK30" s="260"/>
      <c r="CL30" s="260"/>
      <c r="CM30" s="260"/>
      <c r="CN30" s="260"/>
      <c r="CO30" s="260"/>
      <c r="CP30" s="260"/>
      <c r="CQ30" s="260"/>
      <c r="DK30" s="260"/>
      <c r="DL30" s="260"/>
      <c r="DM30" s="260"/>
      <c r="DN30" s="260"/>
      <c r="DO30" s="260"/>
      <c r="DX30" s="38"/>
      <c r="DY30" s="38"/>
      <c r="DZ30" s="38"/>
      <c r="EA30" s="38"/>
      <c r="EB30" s="38"/>
      <c r="EC30" s="38"/>
      <c r="ED30" s="38"/>
      <c r="EE30" s="38"/>
      <c r="EF30" s="268"/>
      <c r="EG30" s="268"/>
      <c r="EH30" s="268"/>
      <c r="EI30" s="268"/>
      <c r="EJ30" s="38"/>
      <c r="EK30" s="38"/>
      <c r="EL30" s="38"/>
      <c r="EM30" s="38"/>
      <c r="EN30" s="38"/>
      <c r="EO30" s="38"/>
      <c r="EP30" s="38"/>
      <c r="EQ30" s="38"/>
      <c r="ER30" s="38"/>
      <c r="ES30" s="38"/>
      <c r="ET30" s="38"/>
    </row>
    <row r="31" spans="1:151" x14ac:dyDescent="0.2">
      <c r="A31" s="3" t="s">
        <v>54</v>
      </c>
      <c r="B31">
        <v>1540</v>
      </c>
      <c r="C31">
        <v>570</v>
      </c>
      <c r="D31">
        <v>1.19</v>
      </c>
      <c r="E31">
        <v>0.15</v>
      </c>
      <c r="F31" s="2">
        <f t="shared" si="9"/>
        <v>231</v>
      </c>
      <c r="G31" t="s">
        <v>11</v>
      </c>
      <c r="H31" s="20"/>
      <c r="I31" s="21"/>
      <c r="J31">
        <v>231</v>
      </c>
      <c r="K31" s="94">
        <v>104.05</v>
      </c>
      <c r="L31">
        <v>1.19</v>
      </c>
      <c r="M31" s="38">
        <v>274.89</v>
      </c>
      <c r="N31" s="27"/>
      <c r="O31" s="27">
        <f t="shared" si="10"/>
        <v>28602.304499999998</v>
      </c>
      <c r="P31" s="27"/>
      <c r="Q31" s="27"/>
      <c r="R31" s="27"/>
      <c r="S31" s="27"/>
      <c r="T31" s="18"/>
      <c r="U31">
        <v>2.3999999999999998E-3</v>
      </c>
      <c r="V31">
        <v>0.99760000000000004</v>
      </c>
      <c r="W31" s="94"/>
      <c r="X31" s="94">
        <f t="shared" si="11"/>
        <v>68.645530799999989</v>
      </c>
      <c r="Y31" s="94"/>
      <c r="Z31" s="94"/>
      <c r="AA31" s="94">
        <f t="shared" si="12"/>
        <v>28533.658969199998</v>
      </c>
      <c r="AB31" s="94"/>
      <c r="AI31" s="18"/>
      <c r="AJ31">
        <v>19</v>
      </c>
      <c r="AK31" s="34">
        <f t="shared" si="17"/>
        <v>2.1689497716894978E-3</v>
      </c>
      <c r="AL31" s="34">
        <f t="shared" si="13"/>
        <v>0.99783105022831053</v>
      </c>
      <c r="AM31" s="94"/>
      <c r="AN31" s="94"/>
      <c r="AO31" s="94"/>
      <c r="AP31" s="27"/>
      <c r="AQ31" s="27"/>
      <c r="AR31" s="94">
        <f t="shared" si="14"/>
        <v>61.888073106712326</v>
      </c>
      <c r="AS31" s="94">
        <f t="shared" si="15"/>
        <v>30.944036553356163</v>
      </c>
      <c r="AT31" s="27">
        <f t="shared" si="18"/>
        <v>28502.714932646642</v>
      </c>
      <c r="AU31" s="27"/>
      <c r="AV31" s="27"/>
      <c r="AW31" s="94"/>
      <c r="AX31" s="94"/>
      <c r="AY31" s="27"/>
      <c r="AZ31" s="27"/>
      <c r="BA31" s="27"/>
      <c r="BB31" s="18"/>
      <c r="BO31" s="117"/>
      <c r="BV31" s="251"/>
      <c r="BW31" s="251"/>
      <c r="BX31" s="251"/>
      <c r="BY31" s="251"/>
      <c r="CK31" s="260"/>
      <c r="CL31" s="260"/>
      <c r="CM31" s="260"/>
      <c r="CN31" s="260"/>
      <c r="CO31" s="260"/>
      <c r="CP31" s="260"/>
      <c r="CQ31" s="260"/>
      <c r="DK31" s="260"/>
      <c r="DL31" s="260"/>
      <c r="DM31" s="260"/>
      <c r="DN31" s="260"/>
      <c r="DO31" s="260"/>
      <c r="DX31" s="38"/>
      <c r="DY31" s="38"/>
      <c r="DZ31" s="38"/>
      <c r="EA31" s="38"/>
      <c r="EB31" s="38"/>
      <c r="EC31" s="38"/>
      <c r="ED31" s="38"/>
      <c r="EE31" s="38"/>
      <c r="EF31" s="268"/>
      <c r="EG31" s="268"/>
      <c r="EH31" s="268"/>
      <c r="EI31" s="268"/>
      <c r="EJ31" s="38"/>
      <c r="EK31" s="38"/>
      <c r="EL31" s="38"/>
      <c r="EM31" s="38"/>
      <c r="EN31" s="38"/>
      <c r="EO31" s="38"/>
      <c r="EP31" s="38"/>
      <c r="EQ31" s="38"/>
      <c r="ER31" s="38"/>
      <c r="ES31" s="38"/>
      <c r="ET31" s="38"/>
    </row>
    <row r="32" spans="1:151" x14ac:dyDescent="0.2">
      <c r="A32" s="3" t="s">
        <v>55</v>
      </c>
      <c r="B32">
        <v>1512</v>
      </c>
      <c r="C32">
        <v>1053</v>
      </c>
      <c r="D32">
        <v>0.46</v>
      </c>
      <c r="E32">
        <v>0.1</v>
      </c>
      <c r="F32" s="2">
        <f t="shared" si="9"/>
        <v>151.20000000000002</v>
      </c>
      <c r="G32" t="s">
        <v>11</v>
      </c>
      <c r="H32" s="20"/>
      <c r="I32" s="21"/>
      <c r="J32">
        <v>151</v>
      </c>
      <c r="K32" s="94">
        <v>104.05</v>
      </c>
      <c r="L32">
        <v>0.46</v>
      </c>
      <c r="M32" s="38">
        <v>69.459999999999994</v>
      </c>
      <c r="N32" s="27"/>
      <c r="O32" s="27">
        <f t="shared" si="10"/>
        <v>7227.3130000000001</v>
      </c>
      <c r="P32" s="27"/>
      <c r="Q32" s="27"/>
      <c r="R32" s="27"/>
      <c r="S32" s="27"/>
      <c r="T32" s="18"/>
      <c r="U32">
        <v>2.3999999999999998E-3</v>
      </c>
      <c r="V32">
        <v>0.99760000000000004</v>
      </c>
      <c r="W32" s="94"/>
      <c r="X32" s="94">
        <f t="shared" si="11"/>
        <v>17.345551199999999</v>
      </c>
      <c r="Y32" s="94"/>
      <c r="Z32" s="94"/>
      <c r="AA32" s="94">
        <f t="shared" si="12"/>
        <v>7209.9674488000001</v>
      </c>
      <c r="AB32" s="94"/>
      <c r="AI32" s="18"/>
      <c r="AJ32">
        <v>11</v>
      </c>
      <c r="AK32" s="34">
        <f t="shared" si="17"/>
        <v>1.2557077625570776E-3</v>
      </c>
      <c r="AL32" s="34">
        <f t="shared" si="13"/>
        <v>0.99874429223744288</v>
      </c>
      <c r="AM32" s="94"/>
      <c r="AN32" s="94"/>
      <c r="AO32" s="94"/>
      <c r="AP32" s="27"/>
      <c r="AQ32" s="27"/>
      <c r="AR32" s="94">
        <f t="shared" si="14"/>
        <v>9.053612093242009</v>
      </c>
      <c r="AS32" s="94">
        <f t="shared" si="15"/>
        <v>4.5268060466210045</v>
      </c>
      <c r="AT32" s="27">
        <f t="shared" si="18"/>
        <v>7205.4406427533795</v>
      </c>
      <c r="AU32" s="27"/>
      <c r="AV32" s="27"/>
      <c r="AW32" s="94"/>
      <c r="AX32" s="94"/>
      <c r="AY32" s="27"/>
      <c r="AZ32" s="27"/>
      <c r="BA32" s="27"/>
      <c r="BB32" s="18"/>
      <c r="BO32" s="117"/>
      <c r="BV32" s="251"/>
      <c r="BW32" s="251"/>
      <c r="BX32" s="251"/>
      <c r="BY32" s="251"/>
      <c r="CK32" s="260"/>
      <c r="CL32" s="260"/>
      <c r="CM32" s="260"/>
      <c r="CN32" s="260"/>
      <c r="CO32" s="260"/>
      <c r="CP32" s="260"/>
      <c r="CQ32" s="260"/>
      <c r="DK32" s="260"/>
      <c r="DL32" s="260"/>
      <c r="DM32" s="260"/>
      <c r="DN32" s="260"/>
      <c r="DO32" s="260"/>
      <c r="DX32" s="38"/>
      <c r="DY32" s="38"/>
      <c r="DZ32" s="38"/>
      <c r="EA32" s="38"/>
      <c r="EB32" s="38"/>
      <c r="EC32" s="38"/>
      <c r="ED32" s="38"/>
      <c r="EE32" s="38"/>
      <c r="EF32" s="268"/>
      <c r="EG32" s="268"/>
      <c r="EH32" s="268"/>
      <c r="EI32" s="268"/>
      <c r="EJ32" s="38"/>
      <c r="EK32" s="38"/>
      <c r="EL32" s="38"/>
      <c r="EM32" s="38"/>
      <c r="EN32" s="38"/>
      <c r="EO32" s="38"/>
      <c r="EP32" s="38"/>
      <c r="EQ32" s="38"/>
      <c r="ER32" s="38"/>
      <c r="ES32" s="38"/>
      <c r="ET32" s="38"/>
    </row>
    <row r="33" spans="1:150" x14ac:dyDescent="0.2">
      <c r="A33" s="3" t="s">
        <v>56</v>
      </c>
      <c r="B33">
        <v>1568</v>
      </c>
      <c r="C33">
        <v>87</v>
      </c>
      <c r="D33">
        <v>0.66</v>
      </c>
      <c r="E33">
        <v>0.05</v>
      </c>
      <c r="F33" s="2">
        <f t="shared" si="9"/>
        <v>78.400000000000006</v>
      </c>
      <c r="G33" t="s">
        <v>11</v>
      </c>
      <c r="H33" s="20"/>
      <c r="I33" s="21"/>
      <c r="J33">
        <v>78</v>
      </c>
      <c r="K33" s="94">
        <v>104.05</v>
      </c>
      <c r="L33">
        <v>0.66</v>
      </c>
      <c r="M33" s="38">
        <v>51.48</v>
      </c>
      <c r="N33" s="27"/>
      <c r="O33" s="27">
        <f t="shared" si="10"/>
        <v>5356.4939999999997</v>
      </c>
      <c r="P33" s="27"/>
      <c r="Q33" s="27"/>
      <c r="R33" s="27"/>
      <c r="S33" s="27"/>
      <c r="T33" s="18"/>
      <c r="U33">
        <v>2.3999999999999998E-3</v>
      </c>
      <c r="V33">
        <v>0.99760000000000004</v>
      </c>
      <c r="W33" s="94"/>
      <c r="X33" s="94">
        <f t="shared" si="11"/>
        <v>12.855585599999998</v>
      </c>
      <c r="Y33" s="94"/>
      <c r="Z33" s="94"/>
      <c r="AA33" s="94">
        <f t="shared" si="12"/>
        <v>5343.6384144000003</v>
      </c>
      <c r="AB33" s="94"/>
      <c r="AI33" s="18"/>
      <c r="AJ33">
        <v>112</v>
      </c>
      <c r="AK33" s="34">
        <f t="shared" si="17"/>
        <v>1.2785388127853882E-2</v>
      </c>
      <c r="AL33" s="34">
        <f t="shared" si="13"/>
        <v>0.9872146118721461</v>
      </c>
      <c r="AM33" s="94"/>
      <c r="AN33" s="94"/>
      <c r="AO33" s="94"/>
      <c r="AP33" s="27"/>
      <c r="AQ33" s="27"/>
      <c r="AR33" s="94">
        <f t="shared" si="14"/>
        <v>68.320491143013712</v>
      </c>
      <c r="AS33" s="94">
        <f t="shared" si="15"/>
        <v>34.160245571506856</v>
      </c>
      <c r="AT33" s="27">
        <f t="shared" si="18"/>
        <v>5309.4781688284929</v>
      </c>
      <c r="AU33" s="27"/>
      <c r="AV33" s="27"/>
      <c r="AW33" s="94"/>
      <c r="AX33" s="94"/>
      <c r="AY33" s="27"/>
      <c r="AZ33" s="27"/>
      <c r="BA33" s="27"/>
      <c r="BB33" s="18"/>
      <c r="BO33" s="117"/>
      <c r="BV33" s="251"/>
      <c r="BW33" s="251"/>
      <c r="BX33" s="251"/>
      <c r="BY33" s="251"/>
      <c r="CK33" s="260"/>
      <c r="CL33" s="260"/>
      <c r="CM33" s="260"/>
      <c r="CN33" s="260"/>
      <c r="CO33" s="260"/>
      <c r="CP33" s="260"/>
      <c r="CQ33" s="260"/>
      <c r="DK33" s="260"/>
      <c r="DL33" s="260"/>
      <c r="DM33" s="260"/>
      <c r="DN33" s="260"/>
      <c r="DO33" s="260"/>
      <c r="DX33" s="38"/>
      <c r="DY33" s="38"/>
      <c r="DZ33" s="38"/>
      <c r="EA33" s="38"/>
      <c r="EB33" s="38"/>
      <c r="EC33" s="38"/>
      <c r="ED33" s="38"/>
      <c r="EE33" s="38"/>
      <c r="EF33" s="268"/>
      <c r="EG33" s="268"/>
      <c r="EH33" s="268"/>
      <c r="EI33" s="268"/>
      <c r="EJ33" s="38"/>
      <c r="EK33" s="38"/>
      <c r="EL33" s="38"/>
      <c r="EM33" s="38"/>
      <c r="EN33" s="38"/>
      <c r="EO33" s="38"/>
      <c r="EP33" s="38"/>
      <c r="EQ33" s="38"/>
      <c r="ER33" s="38"/>
      <c r="ES33" s="38"/>
      <c r="ET33" s="38"/>
    </row>
    <row r="34" spans="1:150" x14ac:dyDescent="0.2">
      <c r="A34" s="3" t="s">
        <v>53</v>
      </c>
      <c r="B34">
        <v>1540</v>
      </c>
      <c r="C34">
        <v>570</v>
      </c>
      <c r="D34">
        <v>1.23</v>
      </c>
      <c r="E34">
        <v>0.12</v>
      </c>
      <c r="F34" s="2">
        <f t="shared" si="9"/>
        <v>184.79999999999998</v>
      </c>
      <c r="G34" t="s">
        <v>11</v>
      </c>
      <c r="H34" s="20"/>
      <c r="I34" s="21"/>
      <c r="J34">
        <v>185</v>
      </c>
      <c r="K34" s="94">
        <v>104.05</v>
      </c>
      <c r="L34">
        <v>1.23</v>
      </c>
      <c r="M34" s="38">
        <v>227.55</v>
      </c>
      <c r="N34" s="27"/>
      <c r="O34" s="27">
        <f t="shared" si="10"/>
        <v>23676.577499999999</v>
      </c>
      <c r="P34" s="27"/>
      <c r="Q34" s="27"/>
      <c r="R34" s="27"/>
      <c r="S34" s="27"/>
      <c r="T34" s="18"/>
      <c r="U34">
        <v>2.3999999999999998E-3</v>
      </c>
      <c r="V34">
        <v>0.99760000000000004</v>
      </c>
      <c r="W34" s="94"/>
      <c r="X34" s="94">
        <f t="shared" si="11"/>
        <v>56.823785999999991</v>
      </c>
      <c r="Y34" s="94"/>
      <c r="Z34" s="94"/>
      <c r="AA34" s="94">
        <f t="shared" si="12"/>
        <v>23619.753714000002</v>
      </c>
      <c r="AB34" s="94"/>
      <c r="AI34" s="18"/>
      <c r="AJ34">
        <v>24</v>
      </c>
      <c r="AK34" s="34">
        <f t="shared" si="17"/>
        <v>2.7397260273972603E-3</v>
      </c>
      <c r="AL34" s="34">
        <f t="shared" si="13"/>
        <v>0.99726027397260275</v>
      </c>
      <c r="AM34" s="94"/>
      <c r="AN34" s="94"/>
      <c r="AO34" s="94"/>
      <c r="AP34" s="27"/>
      <c r="AQ34" s="27"/>
      <c r="AR34" s="94">
        <f t="shared" si="14"/>
        <v>64.71165401095891</v>
      </c>
      <c r="AS34" s="94">
        <f t="shared" si="15"/>
        <v>32.355827005479455</v>
      </c>
      <c r="AT34" s="27">
        <f t="shared" si="18"/>
        <v>23587.39788699452</v>
      </c>
      <c r="AU34" s="27"/>
      <c r="AV34" s="27"/>
      <c r="AW34" s="94"/>
      <c r="AX34" s="94"/>
      <c r="AY34" s="27"/>
      <c r="AZ34" s="27"/>
      <c r="BA34" s="27"/>
      <c r="BB34" s="18"/>
      <c r="BO34" s="117"/>
      <c r="BV34" s="251"/>
      <c r="BW34" s="251"/>
      <c r="BX34" s="251"/>
      <c r="BY34" s="251"/>
      <c r="CK34" s="260"/>
      <c r="CL34" s="260"/>
      <c r="CM34" s="260"/>
      <c r="CN34" s="260"/>
      <c r="CO34" s="260"/>
      <c r="CP34" s="260"/>
      <c r="CQ34" s="260"/>
      <c r="DK34" s="260"/>
      <c r="DL34" s="260"/>
      <c r="DM34" s="260"/>
      <c r="DN34" s="260"/>
      <c r="DO34" s="260"/>
      <c r="DX34" s="38"/>
      <c r="DY34" s="38"/>
      <c r="DZ34" s="38"/>
      <c r="EA34" s="38"/>
      <c r="EB34" s="38"/>
      <c r="EC34" s="38"/>
      <c r="ED34" s="38"/>
      <c r="EE34" s="38"/>
      <c r="EF34" s="268"/>
      <c r="EG34" s="268"/>
      <c r="EH34" s="268"/>
      <c r="EI34" s="268"/>
      <c r="EJ34" s="38"/>
      <c r="EK34" s="38"/>
      <c r="EL34" s="38"/>
      <c r="EM34" s="38"/>
      <c r="EN34" s="38"/>
      <c r="EO34" s="38"/>
      <c r="EP34" s="38"/>
      <c r="EQ34" s="38"/>
      <c r="ER34" s="38"/>
      <c r="ES34" s="38"/>
      <c r="ET34" s="38"/>
    </row>
    <row r="35" spans="1:150" x14ac:dyDescent="0.2">
      <c r="A35" s="3" t="s">
        <v>57</v>
      </c>
      <c r="B35">
        <v>1927</v>
      </c>
      <c r="C35">
        <v>748</v>
      </c>
      <c r="D35">
        <v>1.35</v>
      </c>
      <c r="E35">
        <v>0.2</v>
      </c>
      <c r="F35" s="2">
        <f t="shared" si="9"/>
        <v>385.40000000000003</v>
      </c>
      <c r="G35" t="s">
        <v>11</v>
      </c>
      <c r="H35" s="20"/>
      <c r="I35" s="21"/>
      <c r="J35">
        <v>385</v>
      </c>
      <c r="K35" s="94">
        <v>104.05</v>
      </c>
      <c r="L35">
        <v>1.35</v>
      </c>
      <c r="M35" s="38">
        <v>519.75</v>
      </c>
      <c r="N35" s="27"/>
      <c r="O35" s="27">
        <f t="shared" si="10"/>
        <v>54079.987500000003</v>
      </c>
      <c r="P35" s="27"/>
      <c r="Q35" s="27"/>
      <c r="R35" s="27"/>
      <c r="S35" s="27"/>
      <c r="T35" s="18"/>
      <c r="U35">
        <v>2.3999999999999998E-3</v>
      </c>
      <c r="V35">
        <v>0.99760000000000004</v>
      </c>
      <c r="W35" s="94"/>
      <c r="X35" s="94">
        <f t="shared" si="11"/>
        <v>129.79196999999999</v>
      </c>
      <c r="Y35" s="94"/>
      <c r="Z35" s="94"/>
      <c r="AA35" s="94">
        <f t="shared" si="12"/>
        <v>53950.195530000005</v>
      </c>
      <c r="AB35" s="94"/>
      <c r="AI35" s="18"/>
      <c r="AJ35">
        <v>288</v>
      </c>
      <c r="AK35" s="34">
        <f t="shared" si="17"/>
        <v>3.287671232876712E-2</v>
      </c>
      <c r="AL35" s="34">
        <f t="shared" si="13"/>
        <v>0.9671232876712329</v>
      </c>
      <c r="AM35" s="94"/>
      <c r="AN35" s="94"/>
      <c r="AO35" s="94"/>
      <c r="AP35" s="27"/>
      <c r="AQ35" s="27"/>
      <c r="AR35" s="94">
        <f t="shared" si="14"/>
        <v>1773.7050585205479</v>
      </c>
      <c r="AS35" s="94">
        <f t="shared" si="15"/>
        <v>886.85252926027397</v>
      </c>
      <c r="AT35" s="27">
        <f t="shared" si="18"/>
        <v>53063.343000739733</v>
      </c>
      <c r="AU35" s="27"/>
      <c r="AV35" s="27"/>
      <c r="AW35" s="94"/>
      <c r="AX35" s="94"/>
      <c r="AY35" s="27"/>
      <c r="AZ35" s="27"/>
      <c r="BA35" s="27"/>
      <c r="BB35" s="18"/>
      <c r="BO35" s="117"/>
      <c r="CK35" s="260"/>
      <c r="CL35" s="260"/>
      <c r="CM35" s="260"/>
      <c r="CN35" s="260"/>
      <c r="CO35" s="260"/>
      <c r="CP35" s="260"/>
      <c r="CQ35" s="260"/>
      <c r="DX35" s="38"/>
      <c r="DY35" s="38"/>
      <c r="DZ35" s="38"/>
      <c r="EA35" s="38"/>
      <c r="EB35" s="38"/>
      <c r="EC35" s="38"/>
      <c r="ED35" s="38"/>
      <c r="EE35" s="38"/>
      <c r="EF35" s="38"/>
      <c r="EG35" s="38"/>
      <c r="EH35" s="38"/>
      <c r="EI35" s="38"/>
      <c r="EJ35" s="38"/>
      <c r="EK35" s="38"/>
      <c r="EL35" s="38"/>
      <c r="EM35" s="38"/>
      <c r="EN35" s="38"/>
      <c r="EO35" s="38"/>
      <c r="EP35" s="38"/>
      <c r="EQ35" s="38"/>
      <c r="ER35" s="38"/>
      <c r="ES35" s="38"/>
      <c r="ET35" s="38"/>
    </row>
    <row r="36" spans="1:150" x14ac:dyDescent="0.2">
      <c r="A36" s="3" t="s">
        <v>73</v>
      </c>
      <c r="B36">
        <v>1764</v>
      </c>
      <c r="C36">
        <v>1055</v>
      </c>
      <c r="D36">
        <v>0.98</v>
      </c>
      <c r="E36">
        <v>0.5</v>
      </c>
      <c r="F36" s="2">
        <f t="shared" si="9"/>
        <v>882</v>
      </c>
      <c r="G36" t="s">
        <v>11</v>
      </c>
      <c r="H36" s="20"/>
      <c r="I36" s="21"/>
      <c r="J36">
        <v>882</v>
      </c>
      <c r="K36" s="94">
        <v>104.05</v>
      </c>
      <c r="L36">
        <v>0.98</v>
      </c>
      <c r="M36" s="38">
        <v>864.36</v>
      </c>
      <c r="N36" s="27"/>
      <c r="O36" s="27">
        <f t="shared" si="10"/>
        <v>89936.657999999996</v>
      </c>
      <c r="P36" s="27"/>
      <c r="Q36" s="27"/>
      <c r="R36" s="27"/>
      <c r="S36" s="27"/>
      <c r="T36" s="18"/>
      <c r="U36">
        <v>2.3999999999999998E-3</v>
      </c>
      <c r="V36">
        <v>0.99760000000000004</v>
      </c>
      <c r="W36" s="94"/>
      <c r="X36" s="94">
        <f t="shared" si="11"/>
        <v>215.84797919999997</v>
      </c>
      <c r="Y36" s="94"/>
      <c r="Z36" s="94"/>
      <c r="AA36" s="94">
        <f t="shared" si="12"/>
        <v>89720.810020799996</v>
      </c>
      <c r="AB36" s="94"/>
      <c r="AI36" s="18"/>
      <c r="AJ36">
        <v>43</v>
      </c>
      <c r="AK36" s="34">
        <f t="shared" si="17"/>
        <v>4.9086757990867581E-3</v>
      </c>
      <c r="AL36" s="34">
        <f t="shared" si="13"/>
        <v>0.99509132420091329</v>
      </c>
      <c r="AM36" s="94"/>
      <c r="AN36" s="94"/>
      <c r="AO36" s="94"/>
      <c r="AP36" s="27"/>
      <c r="AQ36" s="27"/>
      <c r="AR36" s="94">
        <f t="shared" si="14"/>
        <v>440.41036882356161</v>
      </c>
      <c r="AS36" s="94">
        <f t="shared" si="15"/>
        <v>220.20518441178081</v>
      </c>
      <c r="AT36" s="27">
        <f t="shared" si="18"/>
        <v>89500.604836388215</v>
      </c>
      <c r="AU36" s="27"/>
      <c r="AV36" s="27"/>
      <c r="AW36" s="94"/>
      <c r="AX36" s="94"/>
      <c r="AY36" s="27"/>
      <c r="AZ36" s="27"/>
      <c r="BA36" s="27"/>
      <c r="BB36" s="18"/>
      <c r="BO36" s="117"/>
      <c r="CK36" s="260"/>
      <c r="CL36" s="260"/>
      <c r="CM36" s="260"/>
      <c r="CN36" s="260"/>
      <c r="CO36" s="260"/>
      <c r="CP36" s="260"/>
      <c r="CQ36" s="260"/>
      <c r="DX36" s="38"/>
      <c r="DY36" s="38"/>
      <c r="DZ36" s="38"/>
      <c r="EA36" s="38"/>
      <c r="EB36" s="38"/>
      <c r="EC36" s="38"/>
      <c r="ED36" s="38"/>
      <c r="EE36" s="38"/>
      <c r="EF36" s="38"/>
      <c r="EG36" s="38"/>
      <c r="EH36" s="38"/>
      <c r="EI36" s="38"/>
      <c r="EJ36" s="38"/>
      <c r="EK36" s="38"/>
      <c r="EL36" s="38"/>
      <c r="EM36" s="38"/>
      <c r="EN36" s="38"/>
      <c r="EO36" s="38"/>
      <c r="EP36" s="38"/>
      <c r="EQ36" s="38"/>
      <c r="ER36" s="38"/>
      <c r="ES36" s="38"/>
      <c r="ET36" s="38"/>
    </row>
    <row r="37" spans="1:150" x14ac:dyDescent="0.2">
      <c r="A37" s="3" t="s">
        <v>59</v>
      </c>
      <c r="B37">
        <v>1648</v>
      </c>
      <c r="C37">
        <v>2043</v>
      </c>
      <c r="D37">
        <v>0.85</v>
      </c>
      <c r="F37" s="2">
        <f>B37*D37</f>
        <v>1400.8</v>
      </c>
      <c r="G37" t="s">
        <v>126</v>
      </c>
      <c r="H37" s="20"/>
      <c r="I37" s="21"/>
      <c r="J37">
        <v>1401</v>
      </c>
      <c r="K37" s="94">
        <v>104.05</v>
      </c>
      <c r="L37">
        <v>0.85</v>
      </c>
      <c r="M37" s="38">
        <v>1190.8499999999999</v>
      </c>
      <c r="N37" s="27"/>
      <c r="O37" s="27">
        <f t="shared" si="10"/>
        <v>123907.94249999999</v>
      </c>
      <c r="P37" s="27"/>
      <c r="Q37" s="27"/>
      <c r="R37" s="27"/>
      <c r="S37" s="27"/>
      <c r="T37" s="18"/>
      <c r="U37">
        <v>2.3999999999999998E-3</v>
      </c>
      <c r="V37">
        <v>0.99760000000000004</v>
      </c>
      <c r="W37" s="94"/>
      <c r="X37" s="94">
        <f t="shared" si="11"/>
        <v>297.37906199999998</v>
      </c>
      <c r="Y37" s="94"/>
      <c r="Z37" s="94"/>
      <c r="AA37" s="94">
        <f t="shared" si="12"/>
        <v>123610.563438</v>
      </c>
      <c r="AB37" s="94"/>
      <c r="AI37" s="18"/>
      <c r="AJ37">
        <v>207</v>
      </c>
      <c r="AK37" s="34">
        <f t="shared" si="17"/>
        <v>2.363013698630137E-2</v>
      </c>
      <c r="AL37" s="34">
        <f t="shared" si="13"/>
        <v>0.97636986301369866</v>
      </c>
      <c r="AM37" s="94"/>
      <c r="AN37" s="94"/>
      <c r="AO37" s="94"/>
      <c r="AP37" s="27"/>
      <c r="AQ37" s="27"/>
      <c r="AR37" s="94">
        <f t="shared" si="14"/>
        <v>2920.9345469938357</v>
      </c>
      <c r="AS37" s="94">
        <f t="shared" si="15"/>
        <v>1460.4672734969179</v>
      </c>
      <c r="AT37" s="27">
        <f t="shared" si="18"/>
        <v>122150.09616450309</v>
      </c>
      <c r="AU37" s="27"/>
      <c r="AV37" s="27"/>
      <c r="AW37" s="94"/>
      <c r="AX37" s="94"/>
      <c r="AY37" s="27"/>
      <c r="AZ37" s="27"/>
      <c r="BA37" s="27"/>
      <c r="BB37" s="18"/>
      <c r="BO37" s="117"/>
      <c r="CK37" s="260"/>
      <c r="CL37" s="260"/>
      <c r="CM37" s="260"/>
      <c r="CN37" s="260"/>
      <c r="CO37" s="260"/>
      <c r="CP37" s="260"/>
      <c r="CQ37" s="260"/>
      <c r="DX37" s="38"/>
      <c r="DY37" s="38"/>
      <c r="DZ37" s="38"/>
      <c r="EA37" s="38"/>
      <c r="EB37" s="38"/>
      <c r="EC37" s="38"/>
      <c r="ED37" s="38"/>
      <c r="EE37" s="38"/>
      <c r="EF37" s="38"/>
      <c r="EG37" s="38"/>
      <c r="EH37" s="38"/>
      <c r="EI37" s="38"/>
      <c r="EJ37" s="38"/>
      <c r="EK37" s="38"/>
      <c r="EL37" s="38"/>
      <c r="EM37" s="38"/>
      <c r="EN37" s="38"/>
      <c r="EO37" s="38"/>
      <c r="EP37" s="38"/>
      <c r="EQ37" s="38"/>
      <c r="ER37" s="38"/>
      <c r="ES37" s="38"/>
      <c r="ET37" s="38"/>
    </row>
    <row r="38" spans="1:150" x14ac:dyDescent="0.2">
      <c r="A38" s="3" t="s">
        <v>60</v>
      </c>
      <c r="B38">
        <v>1503</v>
      </c>
      <c r="C38">
        <v>3031</v>
      </c>
      <c r="D38">
        <v>0.21</v>
      </c>
      <c r="F38" s="2">
        <f>B38*D38</f>
        <v>315.63</v>
      </c>
      <c r="G38" t="s">
        <v>16</v>
      </c>
      <c r="H38" s="20"/>
      <c r="I38" s="21"/>
      <c r="J38">
        <v>316</v>
      </c>
      <c r="K38" s="94">
        <v>104.05</v>
      </c>
      <c r="L38">
        <v>0.21</v>
      </c>
      <c r="M38" s="38">
        <v>66.36</v>
      </c>
      <c r="N38" s="27"/>
      <c r="O38" s="27">
        <f t="shared" si="10"/>
        <v>6904.7579999999989</v>
      </c>
      <c r="P38" s="27"/>
      <c r="Q38" s="27"/>
      <c r="R38" s="27"/>
      <c r="S38" s="27"/>
      <c r="T38" s="18"/>
      <c r="U38">
        <v>2.3999999999999998E-3</v>
      </c>
      <c r="V38">
        <v>0.99760000000000004</v>
      </c>
      <c r="W38" s="94"/>
      <c r="X38" s="94">
        <f t="shared" si="11"/>
        <v>16.571419199999998</v>
      </c>
      <c r="Y38" s="94"/>
      <c r="Z38" s="94"/>
      <c r="AA38" s="94">
        <f t="shared" si="12"/>
        <v>6888.1865807999993</v>
      </c>
      <c r="AB38" s="94"/>
      <c r="AI38" s="18"/>
      <c r="AJ38">
        <v>315</v>
      </c>
      <c r="AK38" s="34">
        <f t="shared" si="17"/>
        <v>3.5958904109589039E-2</v>
      </c>
      <c r="AL38" s="34">
        <f t="shared" si="13"/>
        <v>0.96404109589041098</v>
      </c>
      <c r="AM38" s="94"/>
      <c r="AN38" s="94"/>
      <c r="AO38" s="94"/>
      <c r="AP38" s="27"/>
      <c r="AQ38" s="27"/>
      <c r="AR38" s="94">
        <f t="shared" si="14"/>
        <v>247.69164074794517</v>
      </c>
      <c r="AS38" s="94">
        <f t="shared" si="15"/>
        <v>123.84582037397259</v>
      </c>
      <c r="AT38" s="27">
        <f t="shared" si="18"/>
        <v>6764.3407604260274</v>
      </c>
      <c r="AU38" s="27"/>
      <c r="AV38" s="27"/>
      <c r="AW38" s="94"/>
      <c r="AX38" s="94"/>
      <c r="AY38" s="27"/>
      <c r="AZ38" s="27"/>
      <c r="BA38" s="27"/>
      <c r="BB38" s="18"/>
      <c r="BO38" s="117"/>
      <c r="DX38" s="38"/>
      <c r="DY38" s="38"/>
      <c r="DZ38" s="38"/>
      <c r="EA38" s="38"/>
      <c r="EB38" s="38"/>
      <c r="EC38" s="38"/>
      <c r="ED38" s="38"/>
      <c r="EE38" s="38"/>
      <c r="EF38" s="38"/>
      <c r="EG38" s="38"/>
      <c r="EH38" s="38"/>
      <c r="EI38" s="38"/>
      <c r="EJ38" s="38"/>
      <c r="EK38" s="38"/>
      <c r="EL38" s="38"/>
      <c r="EM38" s="38"/>
      <c r="EN38" s="38"/>
      <c r="EO38" s="38"/>
      <c r="EP38" s="38"/>
      <c r="EQ38" s="38"/>
      <c r="ER38" s="38"/>
      <c r="ES38" s="38"/>
      <c r="ET38" s="38"/>
    </row>
    <row r="39" spans="1:150" x14ac:dyDescent="0.2">
      <c r="A39" s="3" t="s">
        <v>61</v>
      </c>
      <c r="B39">
        <v>1913</v>
      </c>
      <c r="C39">
        <v>1266</v>
      </c>
      <c r="D39">
        <v>3.65</v>
      </c>
      <c r="E39">
        <v>1.59</v>
      </c>
      <c r="F39" s="2">
        <f t="shared" ref="F39:F50" si="19">B39*E39</f>
        <v>3041.67</v>
      </c>
      <c r="G39" t="s">
        <v>11</v>
      </c>
      <c r="H39" s="20"/>
      <c r="I39" s="21"/>
      <c r="J39">
        <v>3042</v>
      </c>
      <c r="K39" s="94">
        <v>104.05</v>
      </c>
      <c r="L39">
        <v>1.59</v>
      </c>
      <c r="M39" s="38">
        <v>4836.78</v>
      </c>
      <c r="N39" s="27"/>
      <c r="O39" s="27">
        <f t="shared" si="10"/>
        <v>503266.95899999997</v>
      </c>
      <c r="P39" s="27"/>
      <c r="Q39" s="27"/>
      <c r="R39" s="27"/>
      <c r="S39" s="27"/>
      <c r="T39" s="18"/>
      <c r="U39">
        <v>2.3999999999999998E-3</v>
      </c>
      <c r="V39">
        <v>0.99760000000000004</v>
      </c>
      <c r="W39" s="94"/>
      <c r="X39" s="94">
        <f t="shared" si="11"/>
        <v>1207.8407015999999</v>
      </c>
      <c r="Y39" s="94"/>
      <c r="Z39" s="94"/>
      <c r="AA39" s="94">
        <f t="shared" si="12"/>
        <v>502059.11829840002</v>
      </c>
      <c r="AB39" s="94"/>
      <c r="AI39" s="18"/>
      <c r="AJ39">
        <v>114</v>
      </c>
      <c r="AK39" s="34">
        <f t="shared" si="17"/>
        <v>1.3013698630136987E-2</v>
      </c>
      <c r="AL39" s="34">
        <f t="shared" si="13"/>
        <v>0.98698630136986298</v>
      </c>
      <c r="AM39" s="94"/>
      <c r="AN39" s="94"/>
      <c r="AO39" s="94"/>
      <c r="AP39" s="27"/>
      <c r="AQ39" s="27"/>
      <c r="AR39" s="94">
        <f t="shared" si="14"/>
        <v>6533.6460600476712</v>
      </c>
      <c r="AS39" s="94">
        <f t="shared" si="15"/>
        <v>3266.8230300238356</v>
      </c>
      <c r="AT39" s="27">
        <f t="shared" si="18"/>
        <v>498792.29526837618</v>
      </c>
      <c r="AU39" s="27"/>
      <c r="AV39" s="27"/>
      <c r="AW39" s="94"/>
      <c r="AX39" s="94"/>
      <c r="AY39" s="27"/>
      <c r="AZ39" s="27"/>
      <c r="BA39" s="27"/>
      <c r="BB39" s="18"/>
      <c r="BO39" s="117"/>
      <c r="DX39" s="38"/>
      <c r="DY39" s="38"/>
      <c r="DZ39" s="38"/>
      <c r="EA39" s="38"/>
      <c r="EB39" s="38"/>
      <c r="EC39" s="38"/>
      <c r="ED39" s="38"/>
      <c r="EE39" s="38"/>
      <c r="EF39" s="38"/>
      <c r="EG39" s="38"/>
      <c r="EH39" s="38"/>
      <c r="EI39" s="38"/>
      <c r="EJ39" s="38"/>
      <c r="EK39" s="38"/>
      <c r="EL39" s="38"/>
      <c r="EM39" s="38"/>
      <c r="EN39" s="38"/>
      <c r="EO39" s="38"/>
      <c r="EP39" s="38"/>
      <c r="EQ39" s="38"/>
      <c r="ER39" s="38"/>
      <c r="ES39" s="38"/>
      <c r="ET39" s="38"/>
    </row>
    <row r="40" spans="1:150" x14ac:dyDescent="0.2">
      <c r="A40" s="3" t="s">
        <v>62</v>
      </c>
      <c r="B40">
        <v>1890</v>
      </c>
      <c r="C40">
        <v>1398</v>
      </c>
      <c r="D40">
        <v>0.62</v>
      </c>
      <c r="E40">
        <v>0.55000000000000004</v>
      </c>
      <c r="F40" s="2">
        <f t="shared" si="19"/>
        <v>1039.5</v>
      </c>
      <c r="G40" t="s">
        <v>11</v>
      </c>
      <c r="H40" s="20"/>
      <c r="I40" s="21"/>
      <c r="J40">
        <v>1040</v>
      </c>
      <c r="K40" s="94">
        <v>104.05</v>
      </c>
      <c r="L40">
        <v>0.55000000000000004</v>
      </c>
      <c r="M40" s="38">
        <v>572</v>
      </c>
      <c r="N40" s="27"/>
      <c r="O40" s="27">
        <f t="shared" si="10"/>
        <v>59516.600000000006</v>
      </c>
      <c r="P40" s="27"/>
      <c r="Q40" s="27"/>
      <c r="R40" s="27"/>
      <c r="S40" s="27"/>
      <c r="T40" s="18"/>
      <c r="U40">
        <v>2.3999999999999998E-3</v>
      </c>
      <c r="V40">
        <v>0.99760000000000004</v>
      </c>
      <c r="W40" s="94"/>
      <c r="X40" s="94">
        <f t="shared" si="11"/>
        <v>142.83984000000001</v>
      </c>
      <c r="Y40" s="94"/>
      <c r="Z40" s="94"/>
      <c r="AA40" s="94">
        <f t="shared" si="12"/>
        <v>59373.760160000005</v>
      </c>
      <c r="AB40" s="94"/>
      <c r="AI40" s="18"/>
      <c r="AJ40">
        <v>147</v>
      </c>
      <c r="AK40" s="34">
        <f t="shared" si="17"/>
        <v>1.678082191780822E-2</v>
      </c>
      <c r="AL40" s="34">
        <f t="shared" si="13"/>
        <v>0.98321917808219172</v>
      </c>
      <c r="AM40" s="94"/>
      <c r="AN40" s="94"/>
      <c r="AO40" s="94"/>
      <c r="AP40" s="27"/>
      <c r="AQ40" s="27"/>
      <c r="AR40" s="94">
        <f t="shared" si="14"/>
        <v>996.34049583561659</v>
      </c>
      <c r="AS40" s="94">
        <f t="shared" si="15"/>
        <v>498.1702479178083</v>
      </c>
      <c r="AT40" s="27">
        <f t="shared" si="18"/>
        <v>58875.589912082192</v>
      </c>
      <c r="AU40" s="27"/>
      <c r="AV40" s="27"/>
      <c r="AW40" s="94"/>
      <c r="AX40" s="94"/>
      <c r="AY40" s="27"/>
      <c r="AZ40" s="27"/>
      <c r="BA40" s="27"/>
      <c r="BB40" s="18"/>
      <c r="BO40" s="117"/>
      <c r="DX40" s="38"/>
      <c r="DY40" s="38"/>
      <c r="DZ40" s="38"/>
      <c r="EA40" s="38"/>
      <c r="EB40" s="38"/>
      <c r="EC40" s="38"/>
      <c r="ED40" s="38"/>
      <c r="EE40" s="38"/>
      <c r="EF40" s="38"/>
      <c r="EG40" s="38"/>
      <c r="EH40" s="38"/>
      <c r="EI40" s="38"/>
      <c r="EJ40" s="38"/>
      <c r="EK40" s="38"/>
      <c r="EL40" s="38"/>
      <c r="EM40" s="38"/>
      <c r="EN40" s="38"/>
      <c r="EO40" s="38"/>
      <c r="EP40" s="38"/>
      <c r="EQ40" s="38"/>
      <c r="ER40" s="38"/>
      <c r="ES40" s="38"/>
      <c r="ET40" s="38"/>
    </row>
    <row r="41" spans="1:150" x14ac:dyDescent="0.2">
      <c r="A41" s="3" t="s">
        <v>63</v>
      </c>
      <c r="B41">
        <v>1776</v>
      </c>
      <c r="C41">
        <v>1568</v>
      </c>
      <c r="D41">
        <v>2.66</v>
      </c>
      <c r="E41">
        <v>1.78</v>
      </c>
      <c r="F41" s="2">
        <f t="shared" si="19"/>
        <v>3161.28</v>
      </c>
      <c r="G41" t="s">
        <v>11</v>
      </c>
      <c r="H41" s="20"/>
      <c r="I41" s="21"/>
      <c r="J41">
        <v>3161</v>
      </c>
      <c r="K41" s="94">
        <v>104.05</v>
      </c>
      <c r="L41">
        <v>1.78</v>
      </c>
      <c r="M41" s="38">
        <v>5626.58</v>
      </c>
      <c r="N41" s="27"/>
      <c r="O41" s="27">
        <f t="shared" si="10"/>
        <v>585445.64899999998</v>
      </c>
      <c r="P41" s="27"/>
      <c r="Q41" s="27"/>
      <c r="R41" s="27"/>
      <c r="S41" s="27"/>
      <c r="T41" s="18"/>
      <c r="U41">
        <v>2.3999999999999998E-3</v>
      </c>
      <c r="V41">
        <v>0.99760000000000004</v>
      </c>
      <c r="W41" s="94"/>
      <c r="X41" s="94">
        <f t="shared" si="11"/>
        <v>1405.0695575999998</v>
      </c>
      <c r="Y41" s="94"/>
      <c r="Z41" s="94"/>
      <c r="AA41" s="94">
        <f t="shared" si="12"/>
        <v>584040.57944240002</v>
      </c>
      <c r="AB41" s="94"/>
      <c r="AI41" s="18"/>
      <c r="AJ41">
        <v>8</v>
      </c>
      <c r="AK41" s="34">
        <f t="shared" si="17"/>
        <v>9.1324200913242006E-4</v>
      </c>
      <c r="AL41" s="34">
        <f t="shared" si="13"/>
        <v>0.99908675799086755</v>
      </c>
      <c r="AM41" s="94"/>
      <c r="AN41" s="94"/>
      <c r="AO41" s="94"/>
      <c r="AP41" s="27"/>
      <c r="AQ41" s="27"/>
      <c r="AR41" s="94">
        <f t="shared" si="14"/>
        <v>533.37039218484017</v>
      </c>
      <c r="AS41" s="94">
        <f t="shared" si="15"/>
        <v>266.68519609242009</v>
      </c>
      <c r="AT41" s="27">
        <f t="shared" si="18"/>
        <v>583773.89424630767</v>
      </c>
      <c r="AU41" s="27"/>
      <c r="AV41" s="27"/>
      <c r="AW41" s="94"/>
      <c r="AX41" s="94"/>
      <c r="AY41" s="27"/>
      <c r="AZ41" s="27"/>
      <c r="BA41" s="27"/>
      <c r="BB41" s="18"/>
      <c r="BO41" s="117"/>
      <c r="DX41" s="38"/>
      <c r="DY41" s="38"/>
      <c r="DZ41" s="38"/>
      <c r="EA41" s="38"/>
      <c r="EB41" s="38"/>
      <c r="EC41" s="38"/>
      <c r="ED41" s="38"/>
      <c r="EE41" s="38"/>
      <c r="EF41" s="38"/>
      <c r="EG41" s="38"/>
      <c r="EH41" s="38"/>
      <c r="EI41" s="38"/>
      <c r="EJ41" s="38"/>
      <c r="EK41" s="38"/>
      <c r="EL41" s="38"/>
      <c r="EM41" s="38"/>
      <c r="EN41" s="38"/>
      <c r="EO41" s="38"/>
      <c r="EP41" s="38"/>
      <c r="EQ41" s="38"/>
      <c r="ER41" s="38"/>
      <c r="ES41" s="38"/>
      <c r="ET41" s="38"/>
    </row>
    <row r="42" spans="1:150" x14ac:dyDescent="0.2">
      <c r="A42" s="3" t="s">
        <v>64</v>
      </c>
      <c r="B42">
        <v>1755</v>
      </c>
      <c r="C42">
        <v>4018</v>
      </c>
      <c r="D42">
        <v>1.21</v>
      </c>
      <c r="E42">
        <v>1</v>
      </c>
      <c r="F42" s="2">
        <f t="shared" si="19"/>
        <v>1755</v>
      </c>
      <c r="G42" t="s">
        <v>11</v>
      </c>
      <c r="H42" s="20"/>
      <c r="I42" s="21"/>
      <c r="J42">
        <v>1755</v>
      </c>
      <c r="K42" s="94">
        <v>104.05</v>
      </c>
      <c r="L42">
        <v>1</v>
      </c>
      <c r="M42" s="38">
        <v>1755</v>
      </c>
      <c r="N42" s="27"/>
      <c r="O42" s="27">
        <f t="shared" si="10"/>
        <v>182607.75</v>
      </c>
      <c r="P42" s="27"/>
      <c r="Q42" s="27"/>
      <c r="R42" s="27"/>
      <c r="S42" s="27"/>
      <c r="T42" s="18"/>
      <c r="U42">
        <v>2.3999999999999998E-3</v>
      </c>
      <c r="V42">
        <v>0.99760000000000004</v>
      </c>
      <c r="W42" s="94"/>
      <c r="X42" s="94">
        <f t="shared" si="11"/>
        <v>438.25859999999994</v>
      </c>
      <c r="Y42" s="94"/>
      <c r="Z42" s="94"/>
      <c r="AA42" s="94">
        <f t="shared" si="12"/>
        <v>182169.4914</v>
      </c>
      <c r="AB42" s="94"/>
      <c r="AI42" s="18"/>
      <c r="AJ42">
        <v>158</v>
      </c>
      <c r="AK42" s="34">
        <f t="shared" si="17"/>
        <v>1.8036529680365298E-2</v>
      </c>
      <c r="AL42" s="34">
        <f t="shared" si="13"/>
        <v>0.98196347031963471</v>
      </c>
      <c r="AM42" s="94"/>
      <c r="AN42" s="94"/>
      <c r="AO42" s="94"/>
      <c r="AP42" s="27"/>
      <c r="AQ42" s="27"/>
      <c r="AR42" s="94">
        <f t="shared" si="14"/>
        <v>3285.7054384931507</v>
      </c>
      <c r="AS42" s="94">
        <f t="shared" si="15"/>
        <v>1642.8527192465754</v>
      </c>
      <c r="AT42" s="27">
        <f t="shared" si="18"/>
        <v>180526.63868075344</v>
      </c>
      <c r="AU42" s="27"/>
      <c r="AV42" s="27"/>
      <c r="AW42" s="94"/>
      <c r="AX42" s="94"/>
      <c r="AY42" s="27"/>
      <c r="AZ42" s="27"/>
      <c r="BA42" s="27"/>
      <c r="BB42" s="18"/>
      <c r="BO42" s="117"/>
      <c r="DX42" s="38"/>
      <c r="DY42" s="38"/>
      <c r="DZ42" s="38"/>
      <c r="EA42" s="38"/>
      <c r="EB42" s="38"/>
      <c r="EC42" s="38"/>
      <c r="ED42" s="38"/>
      <c r="EE42" s="38"/>
      <c r="EF42" s="38"/>
      <c r="EG42" s="38"/>
      <c r="EH42" s="38"/>
      <c r="EI42" s="38"/>
      <c r="EJ42" s="38"/>
      <c r="EK42" s="38"/>
      <c r="EL42" s="38"/>
      <c r="EM42" s="38"/>
      <c r="EN42" s="38"/>
      <c r="EO42" s="38"/>
      <c r="EP42" s="38"/>
      <c r="EQ42" s="38"/>
      <c r="ER42" s="38"/>
      <c r="ES42" s="38"/>
      <c r="ET42" s="38"/>
    </row>
    <row r="43" spans="1:150" x14ac:dyDescent="0.2">
      <c r="A43" s="3" t="s">
        <v>65</v>
      </c>
      <c r="B43">
        <v>1894</v>
      </c>
      <c r="C43">
        <v>4029</v>
      </c>
      <c r="D43">
        <v>2.13</v>
      </c>
      <c r="E43">
        <v>1.1599999999999999</v>
      </c>
      <c r="F43" s="2">
        <f t="shared" si="19"/>
        <v>2197.04</v>
      </c>
      <c r="G43" t="s">
        <v>11</v>
      </c>
      <c r="H43" s="20"/>
      <c r="I43" s="21"/>
      <c r="J43">
        <v>2197</v>
      </c>
      <c r="K43" s="94">
        <v>104.05</v>
      </c>
      <c r="L43">
        <v>1.1599999999999999</v>
      </c>
      <c r="M43" s="38">
        <v>2548.52</v>
      </c>
      <c r="N43" s="27"/>
      <c r="O43" s="27">
        <f t="shared" si="10"/>
        <v>265173.50599999999</v>
      </c>
      <c r="P43" s="27"/>
      <c r="Q43" s="27"/>
      <c r="R43" s="27"/>
      <c r="S43" s="27"/>
      <c r="T43" s="18"/>
      <c r="U43">
        <v>2.3999999999999998E-3</v>
      </c>
      <c r="V43">
        <v>0.99760000000000004</v>
      </c>
      <c r="W43" s="94"/>
      <c r="X43" s="94">
        <f t="shared" si="11"/>
        <v>636.41641439999989</v>
      </c>
      <c r="Y43" s="94"/>
      <c r="Z43" s="94"/>
      <c r="AA43" s="94">
        <f t="shared" si="12"/>
        <v>264537.08958560001</v>
      </c>
      <c r="AB43" s="94"/>
      <c r="AI43" s="18"/>
      <c r="AJ43">
        <v>584</v>
      </c>
      <c r="AK43" s="34">
        <f t="shared" si="17"/>
        <v>6.6666666666666666E-2</v>
      </c>
      <c r="AL43" s="34">
        <f t="shared" si="13"/>
        <v>0.93333333333333335</v>
      </c>
      <c r="AM43" s="94"/>
      <c r="AN43" s="94"/>
      <c r="AO43" s="94"/>
      <c r="AP43" s="27"/>
      <c r="AQ43" s="27"/>
      <c r="AR43" s="94">
        <f t="shared" si="14"/>
        <v>17635.805972373335</v>
      </c>
      <c r="AS43" s="94">
        <f t="shared" si="15"/>
        <v>8817.9029861866675</v>
      </c>
      <c r="AT43" s="27">
        <f t="shared" si="18"/>
        <v>255719.18659941337</v>
      </c>
      <c r="AU43" s="27"/>
      <c r="AV43" s="27"/>
      <c r="AW43" s="94"/>
      <c r="AX43" s="94"/>
      <c r="AY43" s="27"/>
      <c r="AZ43" s="27"/>
      <c r="BA43" s="27"/>
      <c r="BB43" s="18"/>
      <c r="BO43" s="117"/>
      <c r="DX43" s="38"/>
      <c r="DY43" s="38"/>
      <c r="DZ43" s="38"/>
      <c r="EA43" s="38"/>
      <c r="EB43" s="38"/>
      <c r="EC43" s="38"/>
      <c r="ED43" s="38"/>
      <c r="EE43" s="38"/>
      <c r="EF43" s="38"/>
      <c r="EG43" s="38"/>
      <c r="EH43" s="38"/>
      <c r="EI43" s="38"/>
      <c r="EJ43" s="38"/>
      <c r="EK43" s="38"/>
      <c r="EL43" s="38"/>
      <c r="EM43" s="38"/>
      <c r="EN43" s="38"/>
      <c r="EO43" s="38"/>
      <c r="EP43" s="38"/>
      <c r="EQ43" s="38"/>
      <c r="ER43" s="38"/>
      <c r="ES43" s="38"/>
      <c r="ET43" s="38"/>
    </row>
    <row r="44" spans="1:150" x14ac:dyDescent="0.2">
      <c r="A44" s="3" t="s">
        <v>66</v>
      </c>
      <c r="B44">
        <v>1656</v>
      </c>
      <c r="C44">
        <v>957</v>
      </c>
      <c r="D44">
        <v>2.15</v>
      </c>
      <c r="E44">
        <v>1</v>
      </c>
      <c r="F44" s="2">
        <f t="shared" si="19"/>
        <v>1656</v>
      </c>
      <c r="G44" t="s">
        <v>11</v>
      </c>
      <c r="H44" s="20"/>
      <c r="I44" s="21"/>
      <c r="J44">
        <v>1656</v>
      </c>
      <c r="K44" s="94">
        <v>104.05</v>
      </c>
      <c r="L44">
        <v>1</v>
      </c>
      <c r="M44" s="38">
        <v>1656</v>
      </c>
      <c r="N44" s="27"/>
      <c r="O44" s="27">
        <f t="shared" si="10"/>
        <v>172306.8</v>
      </c>
      <c r="P44" s="27"/>
      <c r="Q44" s="27"/>
      <c r="R44" s="27"/>
      <c r="S44" s="27"/>
      <c r="T44" s="18"/>
      <c r="U44">
        <v>2.3999999999999998E-3</v>
      </c>
      <c r="V44">
        <v>0.99760000000000004</v>
      </c>
      <c r="W44" s="94"/>
      <c r="X44" s="94">
        <f t="shared" si="11"/>
        <v>413.53631999999993</v>
      </c>
      <c r="Y44" s="94"/>
      <c r="Z44" s="94"/>
      <c r="AA44" s="94">
        <f t="shared" si="12"/>
        <v>171893.26368</v>
      </c>
      <c r="AB44" s="94"/>
      <c r="AI44" s="18"/>
      <c r="AJ44">
        <v>0</v>
      </c>
      <c r="AK44" s="34">
        <f t="shared" si="17"/>
        <v>0</v>
      </c>
      <c r="AL44" s="34">
        <f t="shared" si="13"/>
        <v>1</v>
      </c>
      <c r="AM44" s="94"/>
      <c r="AN44" s="94"/>
      <c r="AO44" s="94"/>
      <c r="AP44" s="27"/>
      <c r="AQ44" s="27"/>
      <c r="AR44" s="94">
        <f t="shared" si="14"/>
        <v>0</v>
      </c>
      <c r="AS44" s="94">
        <f t="shared" si="15"/>
        <v>0</v>
      </c>
      <c r="AT44" s="27">
        <f t="shared" si="18"/>
        <v>171893.26368</v>
      </c>
      <c r="AU44" s="27"/>
      <c r="AV44" s="27"/>
      <c r="AW44" s="94"/>
      <c r="AX44" s="94"/>
      <c r="AY44" s="27"/>
      <c r="AZ44" s="27"/>
      <c r="BA44" s="27"/>
      <c r="BB44" s="18"/>
      <c r="BO44" s="117"/>
      <c r="DX44" s="38"/>
      <c r="DY44" s="38"/>
      <c r="DZ44" s="38"/>
      <c r="EA44" s="38"/>
      <c r="EB44" s="38"/>
      <c r="EC44" s="38"/>
      <c r="ED44" s="38"/>
      <c r="EE44" s="38"/>
      <c r="EF44" s="38"/>
      <c r="EG44" s="38"/>
      <c r="EH44" s="38"/>
      <c r="EI44" s="38"/>
      <c r="EJ44" s="38"/>
      <c r="EK44" s="38"/>
      <c r="EL44" s="38"/>
      <c r="EM44" s="38"/>
      <c r="EN44" s="38"/>
      <c r="EO44" s="38"/>
      <c r="EP44" s="38"/>
      <c r="EQ44" s="38"/>
      <c r="ER44" s="38"/>
      <c r="ES44" s="38"/>
      <c r="ET44" s="38"/>
    </row>
    <row r="45" spans="1:150" x14ac:dyDescent="0.2">
      <c r="A45" s="3" t="s">
        <v>67</v>
      </c>
      <c r="B45">
        <v>1299</v>
      </c>
      <c r="C45">
        <v>6774</v>
      </c>
      <c r="D45">
        <v>0.09</v>
      </c>
      <c r="E45">
        <v>0.13</v>
      </c>
      <c r="F45" s="2">
        <f t="shared" si="19"/>
        <v>168.87</v>
      </c>
      <c r="G45" t="s">
        <v>11</v>
      </c>
      <c r="H45" s="20"/>
      <c r="I45" s="21"/>
      <c r="J45">
        <v>169</v>
      </c>
      <c r="K45" s="94">
        <v>104.05</v>
      </c>
      <c r="L45">
        <v>0.13</v>
      </c>
      <c r="M45" s="38">
        <v>21.97</v>
      </c>
      <c r="N45" s="27"/>
      <c r="O45" s="27">
        <f t="shared" si="10"/>
        <v>2285.9785000000002</v>
      </c>
      <c r="P45" s="27"/>
      <c r="Q45" s="27"/>
      <c r="R45" s="27"/>
      <c r="S45" s="27"/>
      <c r="T45" s="18"/>
      <c r="U45">
        <v>2.3999999999999998E-3</v>
      </c>
      <c r="V45">
        <v>0.99760000000000004</v>
      </c>
      <c r="W45" s="94"/>
      <c r="X45" s="94">
        <f t="shared" si="11"/>
        <v>5.4863483999999998</v>
      </c>
      <c r="Y45" s="94"/>
      <c r="Z45" s="94"/>
      <c r="AA45" s="94">
        <f t="shared" si="12"/>
        <v>2280.4921516000004</v>
      </c>
      <c r="AB45" s="94"/>
      <c r="AI45" s="18"/>
      <c r="AJ45">
        <v>320</v>
      </c>
      <c r="AK45" s="34">
        <f t="shared" si="17"/>
        <v>3.6529680365296802E-2</v>
      </c>
      <c r="AL45" s="34">
        <f t="shared" si="13"/>
        <v>0.9634703196347032</v>
      </c>
      <c r="AM45" s="94"/>
      <c r="AN45" s="94"/>
      <c r="AO45" s="94"/>
      <c r="AP45" s="27"/>
      <c r="AQ45" s="27"/>
      <c r="AR45" s="94">
        <f t="shared" si="14"/>
        <v>83.30564937351599</v>
      </c>
      <c r="AS45" s="94">
        <f t="shared" si="15"/>
        <v>41.652824686757995</v>
      </c>
      <c r="AT45" s="27">
        <f t="shared" si="18"/>
        <v>2238.8393269132421</v>
      </c>
      <c r="AU45" s="27"/>
      <c r="AV45" s="27"/>
      <c r="AW45" s="94"/>
      <c r="AX45" s="94"/>
      <c r="AY45" s="27"/>
      <c r="AZ45" s="27"/>
      <c r="BA45" s="27"/>
      <c r="BB45" s="18"/>
      <c r="BO45" s="117"/>
      <c r="DX45" s="38"/>
      <c r="DY45" s="38"/>
      <c r="DZ45" s="38"/>
      <c r="EA45" s="38"/>
      <c r="EB45" s="38"/>
      <c r="EC45" s="38"/>
      <c r="ED45" s="38"/>
      <c r="EE45" s="38"/>
      <c r="EF45" s="38"/>
      <c r="EG45" s="38"/>
      <c r="EH45" s="38"/>
      <c r="EI45" s="38"/>
      <c r="EJ45" s="38"/>
      <c r="EK45" s="38"/>
      <c r="EL45" s="38"/>
      <c r="EM45" s="38"/>
      <c r="EN45" s="38"/>
      <c r="EO45" s="38"/>
      <c r="EP45" s="38"/>
      <c r="EQ45" s="38"/>
      <c r="ER45" s="38"/>
      <c r="ES45" s="38"/>
      <c r="ET45" s="38"/>
    </row>
    <row r="46" spans="1:150" x14ac:dyDescent="0.2">
      <c r="A46" s="3" t="s">
        <v>68</v>
      </c>
      <c r="B46">
        <v>1300</v>
      </c>
      <c r="C46">
        <v>6063</v>
      </c>
      <c r="D46">
        <v>0.17</v>
      </c>
      <c r="E46">
        <v>0.18</v>
      </c>
      <c r="F46" s="2">
        <f t="shared" si="19"/>
        <v>234</v>
      </c>
      <c r="G46" t="s">
        <v>11</v>
      </c>
      <c r="H46" s="20"/>
      <c r="I46" s="21"/>
      <c r="J46">
        <v>234</v>
      </c>
      <c r="K46" s="94">
        <v>104.05</v>
      </c>
      <c r="L46">
        <v>0.18</v>
      </c>
      <c r="M46" s="38">
        <v>42.12</v>
      </c>
      <c r="N46" s="27"/>
      <c r="O46" s="27">
        <f t="shared" si="10"/>
        <v>4382.5860000000002</v>
      </c>
      <c r="P46" s="27"/>
      <c r="Q46" s="27"/>
      <c r="R46" s="27"/>
      <c r="S46" s="27"/>
      <c r="T46" s="18"/>
      <c r="U46">
        <v>2.3999999999999998E-3</v>
      </c>
      <c r="V46">
        <v>0.99760000000000004</v>
      </c>
      <c r="W46" s="94"/>
      <c r="X46" s="94">
        <f t="shared" si="11"/>
        <v>10.5182064</v>
      </c>
      <c r="Y46" s="94"/>
      <c r="Z46" s="94"/>
      <c r="AA46" s="94">
        <f t="shared" si="12"/>
        <v>4372.0677936000002</v>
      </c>
      <c r="AB46" s="94"/>
      <c r="AI46" s="18"/>
      <c r="AJ46">
        <v>2</v>
      </c>
      <c r="AK46" s="34">
        <f t="shared" si="17"/>
        <v>2.2831050228310502E-4</v>
      </c>
      <c r="AL46" s="34">
        <f t="shared" si="13"/>
        <v>0.99977168949771689</v>
      </c>
      <c r="AM46" s="94"/>
      <c r="AN46" s="94"/>
      <c r="AO46" s="94"/>
      <c r="AP46" s="27"/>
      <c r="AQ46" s="27"/>
      <c r="AR46" s="94">
        <f t="shared" si="14"/>
        <v>0.99818899397260274</v>
      </c>
      <c r="AS46" s="94">
        <f t="shared" si="15"/>
        <v>0.49909449698630137</v>
      </c>
      <c r="AT46" s="27">
        <f t="shared" si="18"/>
        <v>4371.5686991030134</v>
      </c>
      <c r="AU46" s="27"/>
      <c r="AV46" s="27"/>
      <c r="AW46" s="94"/>
      <c r="AX46" s="94"/>
      <c r="AY46" s="27"/>
      <c r="AZ46" s="27"/>
      <c r="BA46" s="27"/>
      <c r="BB46" s="18"/>
      <c r="BO46" s="117"/>
      <c r="DX46" s="38"/>
      <c r="DY46" s="38"/>
      <c r="DZ46" s="38"/>
      <c r="EA46" s="38"/>
      <c r="EB46" s="38"/>
      <c r="EC46" s="38"/>
      <c r="ED46" s="38"/>
      <c r="EE46" s="38"/>
      <c r="EF46" s="38"/>
      <c r="EG46" s="38"/>
      <c r="EH46" s="38"/>
      <c r="EI46" s="38"/>
      <c r="EJ46" s="38"/>
      <c r="EK46" s="38"/>
      <c r="EL46" s="38"/>
      <c r="EM46" s="38"/>
      <c r="EN46" s="38"/>
      <c r="EO46" s="38"/>
      <c r="EP46" s="38"/>
      <c r="EQ46" s="38"/>
      <c r="ER46" s="38"/>
      <c r="ES46" s="38"/>
      <c r="ET46" s="38"/>
    </row>
    <row r="47" spans="1:150" x14ac:dyDescent="0.2">
      <c r="A47" s="3" t="s">
        <v>69</v>
      </c>
      <c r="B47">
        <v>1811</v>
      </c>
      <c r="C47">
        <v>1137</v>
      </c>
      <c r="D47">
        <v>0.16</v>
      </c>
      <c r="E47">
        <v>0.4</v>
      </c>
      <c r="F47" s="2">
        <f t="shared" si="19"/>
        <v>724.40000000000009</v>
      </c>
      <c r="G47" t="s">
        <v>11</v>
      </c>
      <c r="H47" s="20"/>
      <c r="I47" s="21"/>
      <c r="J47">
        <v>724</v>
      </c>
      <c r="K47" s="94">
        <v>104.05</v>
      </c>
      <c r="L47">
        <v>0.4</v>
      </c>
      <c r="M47" s="38">
        <v>289.60000000000002</v>
      </c>
      <c r="N47" s="27"/>
      <c r="O47" s="27">
        <f t="shared" si="10"/>
        <v>30132.880000000001</v>
      </c>
      <c r="P47" s="27"/>
      <c r="Q47" s="27"/>
      <c r="R47" s="27"/>
      <c r="S47" s="27"/>
      <c r="T47" s="18"/>
      <c r="U47">
        <v>2.3999999999999998E-3</v>
      </c>
      <c r="V47">
        <v>0.99760000000000004</v>
      </c>
      <c r="W47" s="94"/>
      <c r="X47" s="94">
        <f t="shared" si="11"/>
        <v>72.318911999999997</v>
      </c>
      <c r="Y47" s="94"/>
      <c r="Z47" s="94"/>
      <c r="AA47" s="94">
        <f t="shared" si="12"/>
        <v>30060.561088000002</v>
      </c>
      <c r="AB47" s="94"/>
      <c r="AI47" s="18"/>
      <c r="AJ47">
        <v>0</v>
      </c>
      <c r="AK47" s="34">
        <f t="shared" si="17"/>
        <v>0</v>
      </c>
      <c r="AL47" s="34">
        <f t="shared" si="13"/>
        <v>1</v>
      </c>
      <c r="AM47" s="94"/>
      <c r="AN47" s="94"/>
      <c r="AO47" s="94"/>
      <c r="AP47" s="27"/>
      <c r="AQ47" s="27"/>
      <c r="AR47" s="94">
        <f t="shared" si="14"/>
        <v>0</v>
      </c>
      <c r="AS47" s="94">
        <f t="shared" si="15"/>
        <v>0</v>
      </c>
      <c r="AT47" s="27">
        <f t="shared" si="18"/>
        <v>30060.561088000002</v>
      </c>
      <c r="AU47" s="27"/>
      <c r="AV47" s="27"/>
      <c r="AW47" s="94"/>
      <c r="AX47" s="94"/>
      <c r="AY47" s="27"/>
      <c r="AZ47" s="27"/>
      <c r="BA47" s="27"/>
      <c r="BB47" s="18"/>
      <c r="BO47" s="117"/>
      <c r="DX47" s="38"/>
      <c r="DY47" s="38"/>
      <c r="DZ47" s="38"/>
      <c r="EA47" s="38"/>
      <c r="EB47" s="38"/>
      <c r="EC47" s="38"/>
      <c r="ED47" s="38"/>
      <c r="EE47" s="38"/>
      <c r="EF47" s="38"/>
      <c r="EG47" s="38"/>
      <c r="EH47" s="38"/>
      <c r="EI47" s="38"/>
      <c r="EJ47" s="38"/>
      <c r="EK47" s="38"/>
      <c r="EL47" s="38"/>
      <c r="EM47" s="38"/>
      <c r="EN47" s="38"/>
      <c r="EO47" s="38"/>
      <c r="EP47" s="38"/>
      <c r="EQ47" s="38"/>
      <c r="ER47" s="38"/>
      <c r="ES47" s="38"/>
      <c r="ET47" s="38"/>
    </row>
    <row r="48" spans="1:150" x14ac:dyDescent="0.2">
      <c r="A48" s="3" t="s">
        <v>70</v>
      </c>
      <c r="B48">
        <v>1685</v>
      </c>
      <c r="C48">
        <v>1450</v>
      </c>
      <c r="D48">
        <v>0.06</v>
      </c>
      <c r="E48">
        <v>0.1</v>
      </c>
      <c r="F48" s="2">
        <f t="shared" si="19"/>
        <v>168.5</v>
      </c>
      <c r="G48" t="s">
        <v>11</v>
      </c>
      <c r="H48" s="20"/>
      <c r="I48" s="269"/>
      <c r="J48" s="247">
        <v>169</v>
      </c>
      <c r="K48" s="253">
        <v>104.05</v>
      </c>
      <c r="L48" s="247">
        <v>0.1</v>
      </c>
      <c r="M48" s="254">
        <v>16.899999999999999</v>
      </c>
      <c r="N48" s="255"/>
      <c r="O48" s="255">
        <f t="shared" si="10"/>
        <v>1758.4450000000002</v>
      </c>
      <c r="P48" s="255"/>
      <c r="Q48" s="255"/>
      <c r="R48" s="255"/>
      <c r="S48" s="255"/>
      <c r="T48" s="21"/>
      <c r="U48">
        <v>2.3999999999999998E-3</v>
      </c>
      <c r="V48">
        <v>0.99760000000000004</v>
      </c>
      <c r="W48" s="94"/>
      <c r="X48" s="94">
        <f t="shared" si="11"/>
        <v>4.2202679999999999</v>
      </c>
      <c r="Y48" s="94"/>
      <c r="Z48" s="94"/>
      <c r="AA48" s="94">
        <f t="shared" si="12"/>
        <v>1754.2247320000001</v>
      </c>
      <c r="AB48" s="94"/>
      <c r="AI48" s="18"/>
      <c r="AJ48">
        <v>0</v>
      </c>
      <c r="AK48" s="34">
        <f t="shared" si="17"/>
        <v>0</v>
      </c>
      <c r="AL48" s="34">
        <f t="shared" si="13"/>
        <v>1</v>
      </c>
      <c r="AM48" s="94"/>
      <c r="AN48" s="94"/>
      <c r="AO48" s="94"/>
      <c r="AP48" s="27"/>
      <c r="AQ48" s="27"/>
      <c r="AR48" s="94">
        <f t="shared" si="14"/>
        <v>0</v>
      </c>
      <c r="AS48" s="94">
        <f t="shared" si="15"/>
        <v>0</v>
      </c>
      <c r="AT48" s="27">
        <f t="shared" si="18"/>
        <v>1754.2247320000001</v>
      </c>
      <c r="AU48" s="27"/>
      <c r="AV48" s="27"/>
      <c r="AW48" s="94"/>
      <c r="AX48" s="94"/>
      <c r="AY48" s="27"/>
      <c r="AZ48" s="27"/>
      <c r="BA48" s="27"/>
      <c r="BB48" s="18"/>
      <c r="BO48" s="117"/>
      <c r="DX48" s="38"/>
      <c r="DY48" s="38"/>
      <c r="DZ48" s="38"/>
      <c r="EA48" s="38"/>
      <c r="EB48" s="38"/>
      <c r="EC48" s="38"/>
      <c r="ED48" s="38"/>
      <c r="EE48" s="38"/>
      <c r="EF48" s="38"/>
      <c r="EG48" s="38"/>
      <c r="EH48" s="38"/>
      <c r="EI48" s="38"/>
      <c r="EJ48" s="38"/>
      <c r="EK48" s="38"/>
      <c r="EL48" s="38"/>
      <c r="EM48" s="38"/>
      <c r="EN48" s="38"/>
      <c r="EO48" s="38"/>
      <c r="EP48" s="38"/>
      <c r="EQ48" s="38"/>
      <c r="ER48" s="38"/>
      <c r="ES48" s="38"/>
      <c r="ET48" s="38"/>
    </row>
    <row r="49" spans="1:150" x14ac:dyDescent="0.2">
      <c r="A49" s="3" t="s">
        <v>71</v>
      </c>
      <c r="B49">
        <v>1693</v>
      </c>
      <c r="C49">
        <v>1035</v>
      </c>
      <c r="D49">
        <v>1.42</v>
      </c>
      <c r="E49">
        <v>1.1499999999999999</v>
      </c>
      <c r="F49" s="2">
        <f t="shared" si="19"/>
        <v>1946.9499999999998</v>
      </c>
      <c r="G49" t="s">
        <v>11</v>
      </c>
      <c r="H49" s="20"/>
      <c r="I49" s="269"/>
      <c r="J49" s="247">
        <v>1947</v>
      </c>
      <c r="K49" s="253">
        <v>104.05</v>
      </c>
      <c r="L49" s="247">
        <v>1.1499999999999999</v>
      </c>
      <c r="M49" s="254">
        <v>2239.0500000000002</v>
      </c>
      <c r="N49" s="255"/>
      <c r="O49" s="255">
        <f t="shared" si="10"/>
        <v>232973.1525</v>
      </c>
      <c r="P49" s="255"/>
      <c r="Q49" s="255"/>
      <c r="R49" s="255"/>
      <c r="S49" s="255"/>
      <c r="T49" s="21"/>
      <c r="U49">
        <v>2.3999999999999998E-3</v>
      </c>
      <c r="V49">
        <v>0.99760000000000004</v>
      </c>
      <c r="W49" s="94"/>
      <c r="X49" s="94">
        <f t="shared" si="11"/>
        <v>559.13556599999993</v>
      </c>
      <c r="Y49" s="94"/>
      <c r="Z49" s="94"/>
      <c r="AA49" s="94">
        <f t="shared" si="12"/>
        <v>232414.01693400001</v>
      </c>
      <c r="AB49" s="94"/>
      <c r="AI49" s="18"/>
      <c r="AJ49">
        <v>155</v>
      </c>
      <c r="AK49" s="34">
        <f t="shared" si="17"/>
        <v>1.7694063926940638E-2</v>
      </c>
      <c r="AL49" s="34">
        <f t="shared" si="13"/>
        <v>0.98230593607305938</v>
      </c>
      <c r="AM49" s="94"/>
      <c r="AN49" s="94"/>
      <c r="AO49" s="94"/>
      <c r="AP49" s="27"/>
      <c r="AQ49" s="27"/>
      <c r="AR49" s="94">
        <f t="shared" si="14"/>
        <v>4112.3484731472599</v>
      </c>
      <c r="AS49" s="94">
        <f t="shared" si="15"/>
        <v>2056.17423657363</v>
      </c>
      <c r="AT49" s="27">
        <f t="shared" si="18"/>
        <v>230357.84269742639</v>
      </c>
      <c r="AU49" s="27"/>
      <c r="AV49" s="27"/>
      <c r="AW49" s="94"/>
      <c r="AX49" s="94"/>
      <c r="AY49" s="27"/>
      <c r="AZ49" s="27"/>
      <c r="BA49" s="27"/>
      <c r="BB49" s="18"/>
      <c r="BO49" s="117"/>
      <c r="DX49" s="38"/>
      <c r="DY49" s="38"/>
      <c r="DZ49" s="38"/>
      <c r="EA49" s="38"/>
      <c r="EB49" s="38"/>
      <c r="EC49" s="38"/>
      <c r="ED49" s="38"/>
      <c r="EE49" s="38"/>
      <c r="EF49" s="38"/>
      <c r="EG49" s="38"/>
      <c r="EH49" s="38"/>
      <c r="EI49" s="38"/>
      <c r="EJ49" s="38"/>
      <c r="EK49" s="38"/>
      <c r="EL49" s="38"/>
      <c r="EM49" s="38"/>
      <c r="EN49" s="38"/>
      <c r="EO49" s="38"/>
      <c r="EP49" s="38"/>
      <c r="EQ49" s="38"/>
      <c r="ER49" s="38"/>
      <c r="ES49" s="38"/>
      <c r="ET49" s="38"/>
    </row>
    <row r="50" spans="1:150" x14ac:dyDescent="0.2">
      <c r="A50" s="247" t="s">
        <v>72</v>
      </c>
      <c r="B50" s="247">
        <v>1595</v>
      </c>
      <c r="C50" s="247">
        <v>4718</v>
      </c>
      <c r="D50" s="247">
        <v>0.52</v>
      </c>
      <c r="E50" s="247">
        <v>0.6</v>
      </c>
      <c r="F50" s="263">
        <f t="shared" si="19"/>
        <v>957</v>
      </c>
      <c r="G50" s="247" t="s">
        <v>11</v>
      </c>
      <c r="H50" s="73"/>
      <c r="I50" s="73"/>
      <c r="J50" s="247">
        <v>957</v>
      </c>
      <c r="K50" s="253">
        <v>104.05</v>
      </c>
      <c r="L50" s="247">
        <v>0.6</v>
      </c>
      <c r="M50" s="254">
        <v>574.20000000000005</v>
      </c>
      <c r="N50" s="255"/>
      <c r="O50" s="255">
        <f t="shared" si="10"/>
        <v>59745.509999999995</v>
      </c>
      <c r="P50" s="255"/>
      <c r="Q50" s="255"/>
      <c r="R50" s="255"/>
      <c r="S50" s="255"/>
      <c r="T50" s="30"/>
      <c r="U50">
        <v>2.3999999999999998E-3</v>
      </c>
      <c r="V50">
        <v>0.99760000000000004</v>
      </c>
      <c r="W50" s="94"/>
      <c r="X50" s="94">
        <f t="shared" si="11"/>
        <v>143.38922399999998</v>
      </c>
      <c r="Y50" s="94"/>
      <c r="Z50" s="94"/>
      <c r="AA50" s="94">
        <f t="shared" si="12"/>
        <v>59602.120775999996</v>
      </c>
      <c r="AB50" s="94"/>
      <c r="AI50" s="19"/>
      <c r="AJ50">
        <v>10</v>
      </c>
      <c r="AK50" s="34">
        <f t="shared" si="17"/>
        <v>1.1415525114155251E-3</v>
      </c>
      <c r="AL50" s="34">
        <f t="shared" si="13"/>
        <v>0.99885844748858443</v>
      </c>
      <c r="AM50" s="94"/>
      <c r="AN50" s="94"/>
      <c r="AO50" s="94"/>
      <c r="AP50" s="27"/>
      <c r="AQ50" s="27"/>
      <c r="AR50" s="94">
        <f t="shared" si="14"/>
        <v>68.038950657534244</v>
      </c>
      <c r="AS50" s="94">
        <f t="shared" si="15"/>
        <v>34.019475328767122</v>
      </c>
      <c r="AT50" s="27">
        <f t="shared" si="18"/>
        <v>59568.101300671224</v>
      </c>
      <c r="AU50" s="27"/>
      <c r="AV50" s="27"/>
      <c r="AW50" s="94"/>
      <c r="AX50" s="94"/>
      <c r="AY50" s="27"/>
      <c r="AZ50" s="27"/>
      <c r="BA50" s="27"/>
      <c r="BB50" s="18"/>
      <c r="BC50" s="5"/>
      <c r="BD50" s="5"/>
      <c r="BE50" s="5"/>
      <c r="BF50" s="5"/>
      <c r="BG50" s="5"/>
      <c r="BH50" s="5"/>
      <c r="BI50" s="5"/>
      <c r="BJ50" s="5"/>
      <c r="BK50" s="5"/>
      <c r="BL50" s="5"/>
      <c r="BM50" s="5"/>
      <c r="BN50" s="5"/>
      <c r="BO50" s="29"/>
      <c r="DX50" s="38"/>
      <c r="DY50" s="38"/>
      <c r="DZ50" s="38"/>
      <c r="EA50" s="38"/>
      <c r="EB50" s="38"/>
      <c r="EC50" s="38"/>
      <c r="ED50" s="38"/>
      <c r="EE50" s="38"/>
      <c r="EF50" s="38"/>
      <c r="EG50" s="38"/>
      <c r="EH50" s="38"/>
      <c r="EI50" s="38"/>
      <c r="EJ50" s="38"/>
      <c r="EK50" s="38"/>
      <c r="EL50" s="38"/>
      <c r="EM50" s="38"/>
      <c r="EN50" s="38"/>
      <c r="EO50" s="38"/>
      <c r="EP50" s="38"/>
      <c r="EQ50" s="38"/>
      <c r="ER50" s="38"/>
      <c r="ES50" s="38"/>
      <c r="ET50" s="38"/>
    </row>
    <row r="51" spans="1:150" x14ac:dyDescent="0.2">
      <c r="A51" s="247"/>
      <c r="B51" s="247"/>
      <c r="C51" s="247"/>
      <c r="D51" s="247"/>
      <c r="E51" s="248">
        <f>$E25+$E26+$E27+$E28+$E29+$E30+$E31+$E32+$E33+$E34+$E35+$E36+$E37+$E38+$E39+$E40+$E41+$E42+$E43+$E44+$E45+$E46+$E47+$E48+$E49+$E50</f>
        <v>13.903</v>
      </c>
      <c r="F51" s="247"/>
      <c r="G51" s="247"/>
      <c r="J51" s="265">
        <f xml:space="preserve"> SUM(J25:J50)</f>
        <v>25413</v>
      </c>
      <c r="K51" s="253"/>
      <c r="L51" s="247"/>
      <c r="M51" s="254">
        <f xml:space="preserve"> SUM(M25:M50)</f>
        <v>44730.02</v>
      </c>
      <c r="N51" s="247"/>
      <c r="O51" s="247"/>
      <c r="P51" s="247"/>
      <c r="Q51" s="247"/>
      <c r="R51" s="249"/>
      <c r="S51" s="247"/>
      <c r="AC51" s="251"/>
      <c r="AD51" s="251"/>
      <c r="AE51" s="251"/>
      <c r="AF51" s="251"/>
      <c r="AG51" s="251"/>
      <c r="AH51" s="251"/>
      <c r="AI51" s="251"/>
      <c r="AU51" s="251"/>
      <c r="AV51" s="251"/>
      <c r="AW51" s="251"/>
      <c r="BB51" s="59"/>
      <c r="BO51" s="118"/>
      <c r="DX51" s="38"/>
      <c r="DY51" s="38"/>
      <c r="DZ51" s="38"/>
      <c r="EA51" s="38"/>
      <c r="EB51" s="38"/>
      <c r="EC51" s="38"/>
      <c r="ED51" s="38"/>
      <c r="EE51" s="38"/>
      <c r="EF51" s="38"/>
      <c r="EG51" s="38"/>
      <c r="EH51" s="38"/>
      <c r="EI51" s="38"/>
      <c r="EJ51" s="38"/>
      <c r="EK51" s="38"/>
      <c r="EL51" s="38"/>
      <c r="EM51" s="38"/>
      <c r="EN51" s="38"/>
      <c r="EO51" s="38"/>
      <c r="EP51" s="38"/>
      <c r="EQ51" s="38"/>
      <c r="ER51" s="38"/>
      <c r="ES51" s="38"/>
      <c r="ET51" s="38"/>
    </row>
    <row r="52" spans="1:150" x14ac:dyDescent="0.2">
      <c r="J52" s="247"/>
      <c r="K52" s="253"/>
      <c r="L52" s="247"/>
      <c r="M52" s="247"/>
      <c r="N52" s="247"/>
      <c r="O52" s="247"/>
      <c r="P52" s="247"/>
      <c r="Q52" s="247"/>
      <c r="R52" s="249"/>
      <c r="S52" s="247"/>
      <c r="AC52" s="251"/>
      <c r="AD52" s="251"/>
      <c r="AE52" s="251"/>
      <c r="AF52" s="251"/>
      <c r="AG52" s="251"/>
      <c r="AH52" s="251"/>
      <c r="AI52" s="251"/>
      <c r="AU52" s="251"/>
      <c r="AV52" s="251"/>
      <c r="AW52" s="251"/>
      <c r="BB52" s="59"/>
      <c r="BC52" s="35"/>
      <c r="BD52" s="37"/>
      <c r="BE52" s="35"/>
      <c r="BF52" s="35"/>
      <c r="BG52" s="35"/>
      <c r="BH52" s="35"/>
      <c r="BO52" s="119"/>
      <c r="DX52" s="38"/>
      <c r="DY52" s="38"/>
      <c r="DZ52" s="38"/>
      <c r="EA52" s="38"/>
      <c r="EB52" s="38"/>
      <c r="EC52" s="38"/>
      <c r="ED52" s="38"/>
      <c r="EE52" s="38"/>
      <c r="EF52" s="38"/>
      <c r="EG52" s="38"/>
      <c r="EH52" s="38"/>
      <c r="EI52" s="38"/>
      <c r="EJ52" s="38"/>
      <c r="EK52" s="38"/>
      <c r="EL52" s="38"/>
      <c r="EM52" s="38"/>
      <c r="EN52" s="38"/>
      <c r="EO52" s="38"/>
      <c r="EP52" s="38"/>
      <c r="EQ52" s="38"/>
      <c r="ER52" s="38"/>
      <c r="ES52" s="38"/>
      <c r="ET52" s="38"/>
    </row>
    <row r="53" spans="1:150" x14ac:dyDescent="0.2">
      <c r="J53" s="247"/>
      <c r="K53" s="253"/>
      <c r="L53" s="247"/>
      <c r="M53" s="247"/>
      <c r="N53" s="247"/>
      <c r="O53" s="247"/>
      <c r="P53" s="247"/>
      <c r="Q53" s="247"/>
      <c r="R53" s="249"/>
      <c r="S53" s="247"/>
      <c r="AC53" s="251"/>
      <c r="AD53" s="251"/>
      <c r="AE53" s="251"/>
      <c r="AF53" s="251"/>
      <c r="AG53" s="251"/>
      <c r="AH53" s="251"/>
      <c r="AI53" s="251"/>
      <c r="AJ53" t="s">
        <v>93</v>
      </c>
      <c r="AU53" s="251"/>
      <c r="AV53" s="251"/>
      <c r="AW53" s="251"/>
      <c r="BB53" s="18"/>
      <c r="BC53" s="7" t="s">
        <v>84</v>
      </c>
      <c r="BD53" s="67"/>
      <c r="BE53" s="7"/>
      <c r="BF53" s="7"/>
      <c r="BG53" s="7"/>
      <c r="BH53" s="7"/>
      <c r="BI53" s="1"/>
      <c r="BJ53" s="1"/>
      <c r="BK53" s="1"/>
      <c r="BL53" s="1"/>
      <c r="BM53" s="1"/>
      <c r="BN53" s="1"/>
      <c r="BO53" s="117"/>
      <c r="DX53" s="38"/>
      <c r="DY53" s="38"/>
      <c r="DZ53" s="38"/>
      <c r="EA53" s="38"/>
      <c r="EB53" s="38"/>
      <c r="EC53" s="38"/>
      <c r="ED53" s="38"/>
      <c r="EE53" s="38"/>
      <c r="EF53" s="38"/>
      <c r="EG53" s="38"/>
      <c r="EH53" s="38"/>
      <c r="EI53" s="38"/>
      <c r="EJ53" s="38"/>
      <c r="EK53" s="38"/>
      <c r="EL53" s="38"/>
      <c r="EM53" s="38"/>
      <c r="EN53" s="38"/>
      <c r="EO53" s="38"/>
      <c r="EP53" s="38"/>
      <c r="EQ53" s="38"/>
      <c r="ER53" s="38"/>
      <c r="ES53" s="38"/>
      <c r="ET53" s="38"/>
    </row>
    <row r="54" spans="1:150" x14ac:dyDescent="0.2">
      <c r="R54" s="251"/>
      <c r="AC54" s="251"/>
      <c r="AD54" s="251"/>
      <c r="AE54" s="251"/>
      <c r="AF54" s="251"/>
      <c r="AG54" s="251"/>
      <c r="AH54" s="251"/>
      <c r="AI54" s="251"/>
      <c r="AU54" s="251"/>
      <c r="AV54" s="251"/>
      <c r="AW54" s="251"/>
      <c r="BB54" s="18"/>
      <c r="BC54" s="9" t="s">
        <v>77</v>
      </c>
      <c r="BD54" s="9" t="s">
        <v>78</v>
      </c>
      <c r="BE54" s="9" t="s">
        <v>79</v>
      </c>
      <c r="BF54" s="9"/>
      <c r="BG54" s="9"/>
      <c r="BH54" s="9"/>
      <c r="BO54" s="117"/>
      <c r="DX54" s="38"/>
      <c r="DY54" s="38"/>
      <c r="DZ54" s="38"/>
      <c r="EA54" s="38"/>
      <c r="EB54" s="38"/>
      <c r="EC54" s="38"/>
      <c r="ED54" s="38"/>
      <c r="EE54" s="38"/>
      <c r="EF54" s="38"/>
      <c r="EG54" s="38"/>
      <c r="EH54" s="38"/>
      <c r="EI54" s="38"/>
      <c r="EJ54" s="38"/>
      <c r="EK54" s="38"/>
      <c r="EL54" s="38"/>
      <c r="EM54" s="38"/>
      <c r="EN54" s="38"/>
      <c r="EO54" s="38"/>
      <c r="EP54" s="38"/>
      <c r="EQ54" s="38"/>
      <c r="ER54" s="38"/>
      <c r="ES54" s="38"/>
      <c r="ET54" s="38"/>
    </row>
    <row r="55" spans="1:150" x14ac:dyDescent="0.2">
      <c r="R55" s="251"/>
      <c r="AC55" s="251"/>
      <c r="AD55" s="251"/>
      <c r="AE55" s="251"/>
      <c r="AF55" s="251"/>
      <c r="AG55" s="251"/>
      <c r="AH55" s="251"/>
      <c r="AI55" s="251"/>
      <c r="AU55" s="251"/>
      <c r="AV55" s="251"/>
      <c r="AW55" s="251"/>
      <c r="BB55" s="18"/>
      <c r="BC55" s="9"/>
      <c r="BD55" s="9"/>
      <c r="BE55" s="9"/>
      <c r="BF55" s="9"/>
      <c r="BG55" s="9"/>
      <c r="BH55" s="9"/>
      <c r="BO55" s="117"/>
      <c r="DX55" s="38"/>
      <c r="DY55" s="38"/>
      <c r="DZ55" s="38"/>
      <c r="EA55" s="38"/>
      <c r="EB55" s="38"/>
      <c r="EC55" s="38"/>
      <c r="ED55" s="38"/>
      <c r="EE55" s="38"/>
      <c r="EF55" s="38"/>
      <c r="EG55" s="38"/>
      <c r="EH55" s="38"/>
      <c r="EI55" s="38"/>
      <c r="EJ55" s="38"/>
      <c r="EK55" s="38"/>
      <c r="EL55" s="38"/>
      <c r="EM55" s="38"/>
      <c r="EN55" s="38"/>
      <c r="EO55" s="38"/>
      <c r="EP55" s="38"/>
      <c r="EQ55" s="38"/>
      <c r="ER55" s="38"/>
      <c r="ES55" s="38"/>
      <c r="ET55" s="38"/>
    </row>
    <row r="56" spans="1:150" x14ac:dyDescent="0.2">
      <c r="R56" s="251"/>
      <c r="AC56" s="251"/>
      <c r="AD56" s="251"/>
      <c r="AE56" s="251"/>
      <c r="AF56" s="251"/>
      <c r="AG56" s="251"/>
      <c r="AH56" s="251"/>
      <c r="AI56" s="251"/>
      <c r="AU56" s="251"/>
      <c r="AV56" s="251"/>
      <c r="AW56" s="251"/>
      <c r="BB56" s="19"/>
      <c r="BC56" s="33">
        <v>0.88480000000000003</v>
      </c>
      <c r="BD56" s="33">
        <v>0.94579999999999997</v>
      </c>
      <c r="BE56" s="33">
        <v>0.97699999999999998</v>
      </c>
      <c r="BF56" s="33"/>
      <c r="BG56" s="33"/>
      <c r="BH56" s="33"/>
      <c r="BO56" s="29"/>
      <c r="DX56" s="38"/>
      <c r="DY56" s="38"/>
      <c r="DZ56" s="38"/>
      <c r="EA56" s="38"/>
      <c r="EB56" s="38"/>
      <c r="EC56" s="38"/>
      <c r="ED56" s="38"/>
      <c r="EE56" s="38"/>
      <c r="EF56" s="38"/>
      <c r="EG56" s="38"/>
      <c r="EH56" s="38"/>
      <c r="EI56" s="38"/>
      <c r="EJ56" s="38"/>
      <c r="EK56" s="38"/>
      <c r="EL56" s="38"/>
      <c r="EM56" s="38"/>
      <c r="EN56" s="38"/>
      <c r="EO56" s="38"/>
      <c r="EP56" s="38"/>
      <c r="EQ56" s="38"/>
      <c r="ER56" s="38"/>
      <c r="ES56" s="38"/>
      <c r="ET56" s="38"/>
    </row>
    <row r="57" spans="1:150" x14ac:dyDescent="0.2">
      <c r="R57" s="251"/>
      <c r="AC57" s="251"/>
      <c r="AD57" s="251"/>
      <c r="AE57" s="251"/>
      <c r="AF57" s="251"/>
      <c r="AG57" s="251"/>
      <c r="AH57" s="251"/>
      <c r="AI57" s="251"/>
      <c r="AU57" s="251"/>
      <c r="AV57" s="251"/>
      <c r="AW57" s="251"/>
      <c r="BC57" s="36"/>
      <c r="BD57" s="36"/>
      <c r="BE57" s="36"/>
      <c r="BF57" s="36"/>
      <c r="BG57" s="36"/>
      <c r="BH57" s="36"/>
      <c r="BI57" s="250"/>
      <c r="BJ57" s="250"/>
      <c r="BK57" s="250"/>
      <c r="BL57" s="250"/>
      <c r="BM57" s="36"/>
      <c r="BN57" s="36"/>
      <c r="BO57" s="36"/>
      <c r="DX57" s="38"/>
      <c r="DY57" s="38"/>
      <c r="DZ57" s="38"/>
      <c r="EA57" s="38"/>
      <c r="EB57" s="38"/>
      <c r="EC57" s="38"/>
      <c r="ED57" s="38"/>
      <c r="EE57" s="38"/>
      <c r="EF57" s="38"/>
      <c r="EG57" s="38"/>
      <c r="EH57" s="38"/>
      <c r="EI57" s="38"/>
      <c r="EJ57" s="38"/>
      <c r="EK57" s="38"/>
      <c r="EL57" s="38"/>
      <c r="EM57" s="38"/>
      <c r="EN57" s="38"/>
      <c r="EO57" s="38"/>
      <c r="EP57" s="38"/>
      <c r="EQ57" s="38"/>
      <c r="ER57" s="38"/>
      <c r="ES57" s="38"/>
      <c r="ET57" s="38"/>
    </row>
    <row r="58" spans="1:150" x14ac:dyDescent="0.2">
      <c r="R58" s="251"/>
      <c r="AC58" s="251"/>
      <c r="AD58" s="251"/>
      <c r="AE58" s="251"/>
      <c r="AF58" s="251"/>
      <c r="AG58" s="251"/>
      <c r="AH58" s="251"/>
      <c r="AI58" s="251"/>
      <c r="AU58" s="251"/>
      <c r="AV58" s="251"/>
      <c r="AW58" s="251"/>
      <c r="BI58" s="251"/>
      <c r="BJ58" s="251"/>
      <c r="BK58" s="251"/>
      <c r="BL58" s="251"/>
    </row>
    <row r="59" spans="1:150" x14ac:dyDescent="0.2">
      <c r="R59" s="251"/>
      <c r="AC59" s="251"/>
      <c r="AD59" s="251"/>
      <c r="AE59" s="251"/>
      <c r="AF59" s="251"/>
      <c r="AG59" s="251"/>
      <c r="AH59" s="251"/>
      <c r="AI59" s="251"/>
      <c r="AU59" s="251"/>
      <c r="AV59" s="251"/>
      <c r="AW59" s="251"/>
      <c r="BI59" s="251"/>
      <c r="BJ59" s="251"/>
      <c r="BK59" s="251"/>
      <c r="BL59" s="251"/>
    </row>
    <row r="60" spans="1:150" x14ac:dyDescent="0.2">
      <c r="AC60" s="251"/>
      <c r="AD60" s="251"/>
      <c r="AE60" s="251"/>
      <c r="AF60" s="251"/>
      <c r="AG60" s="251"/>
      <c r="AH60" s="251"/>
      <c r="AI60" s="251"/>
      <c r="BI60" s="251"/>
      <c r="BJ60" s="251"/>
      <c r="BK60" s="251"/>
      <c r="BL60" s="251"/>
    </row>
    <row r="61" spans="1:150" x14ac:dyDescent="0.2">
      <c r="BI61" s="251"/>
      <c r="BJ61" s="251"/>
      <c r="BK61" s="251"/>
      <c r="BL61" s="251"/>
    </row>
    <row r="62" spans="1:150" x14ac:dyDescent="0.2">
      <c r="AK62" t="s">
        <v>93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3BC6C-DC4D-B34E-9434-3531EC3A93E1}">
  <dimension ref="A1:EU62"/>
  <sheetViews>
    <sheetView topLeftCell="A2" zoomScale="64" workbookViewId="0">
      <selection activeCell="C55" sqref="C55"/>
    </sheetView>
  </sheetViews>
  <sheetFormatPr baseColWidth="10" defaultRowHeight="16" x14ac:dyDescent="0.2"/>
  <cols>
    <col min="1" max="1" width="26.1640625" customWidth="1"/>
    <col min="2" max="2" width="25.1640625" customWidth="1"/>
    <col min="3" max="3" width="27.6640625" customWidth="1"/>
    <col min="4" max="4" width="25.83203125" customWidth="1"/>
    <col min="5" max="5" width="20" customWidth="1"/>
    <col min="6" max="6" width="30.6640625" customWidth="1"/>
    <col min="7" max="7" width="15.83203125" customWidth="1"/>
    <col min="8" max="8" width="7" customWidth="1"/>
    <col min="9" max="9" width="6" customWidth="1"/>
    <col min="10" max="10" width="43.83203125" customWidth="1"/>
    <col min="11" max="11" width="50.6640625" style="94" customWidth="1"/>
    <col min="12" max="13" width="29" customWidth="1"/>
    <col min="14" max="14" width="32" customWidth="1"/>
    <col min="15" max="15" width="17.1640625" customWidth="1"/>
    <col min="16" max="16" width="21.5" customWidth="1"/>
    <col min="17" max="17" width="19" customWidth="1"/>
    <col min="18" max="18" width="18" customWidth="1"/>
    <col min="19" max="19" width="17.5" customWidth="1"/>
    <col min="20" max="20" width="8.1640625" customWidth="1"/>
    <col min="21" max="21" width="33.6640625" customWidth="1"/>
    <col min="22" max="22" width="31.6640625" customWidth="1"/>
    <col min="23" max="23" width="19.33203125" customWidth="1"/>
    <col min="24" max="24" width="14.1640625" customWidth="1"/>
    <col min="25" max="25" width="14" customWidth="1"/>
    <col min="26" max="26" width="18.33203125" customWidth="1"/>
    <col min="27" max="27" width="18.6640625" customWidth="1"/>
    <col min="28" max="28" width="12.83203125" customWidth="1"/>
    <col min="29" max="29" width="7.5" customWidth="1"/>
    <col min="30" max="30" width="12.33203125" customWidth="1"/>
    <col min="31" max="31" width="7.33203125" customWidth="1"/>
    <col min="32" max="32" width="19.33203125" customWidth="1"/>
    <col min="33" max="33" width="10.6640625" customWidth="1"/>
    <col min="34" max="34" width="12.33203125" customWidth="1"/>
    <col min="35" max="35" width="8.1640625" customWidth="1"/>
    <col min="36" max="36" width="33.33203125" customWidth="1"/>
    <col min="37" max="37" width="29.6640625" customWidth="1"/>
    <col min="38" max="38" width="23.6640625" customWidth="1"/>
    <col min="39" max="39" width="18.1640625" customWidth="1"/>
    <col min="40" max="40" width="23.1640625" customWidth="1"/>
    <col min="41" max="41" width="13.83203125" customWidth="1"/>
    <col min="42" max="42" width="13.33203125" customWidth="1"/>
    <col min="43" max="43" width="20.1640625" customWidth="1"/>
    <col min="44" max="44" width="36.33203125" customWidth="1"/>
    <col min="45" max="45" width="34" customWidth="1"/>
    <col min="46" max="46" width="50.1640625" customWidth="1"/>
    <col min="47" max="47" width="42.6640625" customWidth="1"/>
    <col min="48" max="48" width="38" customWidth="1"/>
    <col min="49" max="49" width="22.83203125" customWidth="1"/>
    <col min="50" max="50" width="22" customWidth="1"/>
    <col min="51" max="51" width="22.1640625" customWidth="1"/>
    <col min="52" max="53" width="20.6640625" customWidth="1"/>
    <col min="54" max="54" width="6.5" customWidth="1"/>
    <col min="55" max="55" width="14.33203125" customWidth="1"/>
    <col min="56" max="56" width="18.83203125" customWidth="1"/>
    <col min="57" max="57" width="13.1640625" customWidth="1"/>
    <col min="59" max="59" width="12.83203125" customWidth="1"/>
    <col min="60" max="60" width="11.83203125" customWidth="1"/>
    <col min="61" max="61" width="16.1640625" customWidth="1"/>
    <col min="62" max="62" width="16.6640625" customWidth="1"/>
    <col min="63" max="66" width="14" customWidth="1"/>
    <col min="67" max="67" width="6.5" customWidth="1"/>
    <col min="68" max="68" width="29.33203125" customWidth="1"/>
    <col min="69" max="78" width="18.83203125" customWidth="1"/>
    <col min="79" max="79" width="23" customWidth="1"/>
    <col min="80" max="80" width="9.6640625" style="121" customWidth="1"/>
    <col min="81" max="81" width="29.1640625" customWidth="1"/>
    <col min="82" max="82" width="34.1640625" customWidth="1"/>
    <col min="83" max="83" width="10.5" style="27" customWidth="1"/>
    <col min="84" max="85" width="12.1640625" style="27" customWidth="1"/>
    <col min="86" max="86" width="14" style="27" customWidth="1"/>
    <col min="87" max="87" width="11.83203125" style="27" customWidth="1"/>
    <col min="88" max="88" width="9.83203125" style="27" customWidth="1"/>
    <col min="89" max="100" width="9.6640625" style="27" customWidth="1"/>
    <col min="101" max="101" width="9.5" style="121" customWidth="1"/>
    <col min="102" max="103" width="22.83203125" customWidth="1"/>
    <col min="104" max="104" width="20.33203125" style="27" customWidth="1"/>
    <col min="105" max="112" width="15.33203125" style="27" customWidth="1"/>
    <col min="113" max="113" width="18.33203125" style="27" customWidth="1"/>
    <col min="114" max="121" width="15.33203125" style="27" customWidth="1"/>
    <col min="122" max="122" width="9.5" style="121" customWidth="1"/>
    <col min="123" max="123" width="14.6640625" customWidth="1"/>
    <col min="124" max="124" width="15.83203125" customWidth="1"/>
    <col min="125" max="125" width="13.83203125" customWidth="1"/>
    <col min="126" max="126" width="16.5" customWidth="1"/>
    <col min="127" max="127" width="16" customWidth="1"/>
    <col min="128" max="128" width="13.83203125" customWidth="1"/>
    <col min="129" max="129" width="16.1640625" customWidth="1"/>
    <col min="130" max="130" width="16.6640625" customWidth="1"/>
    <col min="131" max="131" width="14.1640625" customWidth="1"/>
    <col min="132" max="132" width="6.5" customWidth="1"/>
    <col min="133" max="133" width="15.6640625" customWidth="1"/>
    <col min="134" max="134" width="14.33203125" customWidth="1"/>
    <col min="135" max="135" width="13.83203125" customWidth="1"/>
    <col min="136" max="136" width="14.5" customWidth="1"/>
    <col min="137" max="137" width="14.1640625" customWidth="1"/>
    <col min="138" max="138" width="11.83203125" customWidth="1"/>
    <col min="139" max="139" width="15.33203125" customWidth="1"/>
    <col min="140" max="140" width="16.5" customWidth="1"/>
    <col min="141" max="141" width="15.83203125" customWidth="1"/>
    <col min="142" max="142" width="19.83203125" customWidth="1"/>
    <col min="143" max="143" width="16.1640625" customWidth="1"/>
    <col min="144" max="145" width="15" customWidth="1"/>
    <col min="146" max="146" width="13.83203125" customWidth="1"/>
    <col min="147" max="147" width="12.6640625" customWidth="1"/>
    <col min="148" max="148" width="12.33203125" customWidth="1"/>
    <col min="149" max="149" width="13" customWidth="1"/>
    <col min="150" max="150" width="11.33203125" customWidth="1"/>
  </cols>
  <sheetData>
    <row r="1" spans="1:151" ht="34" x14ac:dyDescent="0.4">
      <c r="A1" s="14" t="s">
        <v>46</v>
      </c>
      <c r="B1" s="11"/>
      <c r="C1" s="11"/>
      <c r="D1" s="11"/>
      <c r="E1" s="11"/>
      <c r="F1" s="11"/>
      <c r="G1" s="11" t="s">
        <v>22</v>
      </c>
      <c r="H1" s="31"/>
      <c r="I1" s="32"/>
      <c r="J1" s="12" t="s">
        <v>402</v>
      </c>
      <c r="K1" s="234"/>
      <c r="L1" s="11"/>
      <c r="M1" s="39" t="s">
        <v>398</v>
      </c>
      <c r="N1" s="66" t="s">
        <v>133</v>
      </c>
      <c r="O1" s="11"/>
      <c r="P1" s="43" t="s">
        <v>132</v>
      </c>
      <c r="Q1" s="11" t="s">
        <v>393</v>
      </c>
      <c r="R1" s="11"/>
      <c r="S1" s="11"/>
      <c r="T1" s="11"/>
      <c r="U1" s="98" t="s">
        <v>181</v>
      </c>
      <c r="V1" s="99"/>
      <c r="W1" s="99" t="s">
        <v>189</v>
      </c>
      <c r="X1" s="99"/>
      <c r="Y1" s="99"/>
      <c r="Z1" s="99"/>
      <c r="AA1" s="99"/>
      <c r="AB1" s="99"/>
      <c r="AC1" s="99" t="s">
        <v>392</v>
      </c>
      <c r="AD1" s="99"/>
      <c r="AE1" s="99"/>
      <c r="AF1" s="11"/>
      <c r="AG1" s="11"/>
      <c r="AH1" s="11"/>
      <c r="AI1" s="11"/>
      <c r="AJ1" s="65" t="s">
        <v>123</v>
      </c>
      <c r="AK1" s="11"/>
      <c r="AL1" s="11"/>
      <c r="AM1" s="11"/>
      <c r="AN1" s="11"/>
      <c r="AO1" s="11">
        <v>69.61</v>
      </c>
      <c r="AP1" s="44"/>
      <c r="AQ1" s="44"/>
      <c r="AR1" s="11"/>
      <c r="AS1" s="11"/>
      <c r="AT1" s="11"/>
      <c r="AU1" s="44"/>
      <c r="AV1" s="44"/>
      <c r="AW1" s="11"/>
      <c r="AX1" s="11"/>
      <c r="AY1" s="11"/>
      <c r="AZ1" s="44"/>
      <c r="BA1" s="44"/>
      <c r="BB1" s="11"/>
      <c r="BC1" s="61" t="s">
        <v>83</v>
      </c>
      <c r="BD1" s="11"/>
      <c r="BE1" s="11"/>
      <c r="BF1" s="11"/>
      <c r="BG1" s="11"/>
      <c r="BH1" s="11"/>
      <c r="BI1" s="11"/>
      <c r="BJ1" s="11"/>
      <c r="BK1" s="11"/>
      <c r="BL1" s="11"/>
      <c r="BM1" s="11"/>
      <c r="BN1" s="63"/>
      <c r="BO1" s="11"/>
      <c r="BP1" s="43" t="s">
        <v>233</v>
      </c>
      <c r="BQ1" s="11"/>
      <c r="BR1" s="11"/>
      <c r="BS1" s="11"/>
      <c r="BT1" s="11"/>
      <c r="BU1" s="11"/>
      <c r="BV1" s="11"/>
      <c r="BW1" s="11"/>
      <c r="BX1" s="11"/>
      <c r="BY1" s="11"/>
      <c r="BZ1" s="11"/>
      <c r="CA1" s="11"/>
      <c r="CC1" s="164" t="s">
        <v>291</v>
      </c>
      <c r="CD1" s="11"/>
      <c r="CE1" s="139"/>
      <c r="CF1" s="139"/>
      <c r="CG1" s="139"/>
      <c r="CH1" s="139"/>
      <c r="CI1" s="139"/>
      <c r="CJ1" s="139"/>
      <c r="CK1" s="139"/>
      <c r="CL1" s="139"/>
      <c r="CM1" s="139"/>
      <c r="CN1" s="139"/>
      <c r="CO1" s="139"/>
      <c r="CP1" s="139"/>
      <c r="CQ1" s="139"/>
      <c r="CR1" s="139"/>
      <c r="CS1" s="139"/>
      <c r="CT1" s="139"/>
      <c r="CU1" s="139"/>
      <c r="CV1" s="139"/>
      <c r="CX1" s="164" t="s">
        <v>329</v>
      </c>
      <c r="CY1" s="164"/>
      <c r="CZ1" s="139"/>
      <c r="DA1" s="139"/>
      <c r="DB1" s="139"/>
      <c r="DC1" s="139"/>
      <c r="DD1" s="139"/>
      <c r="DE1" s="139"/>
      <c r="DF1" s="139"/>
      <c r="DG1" s="139"/>
      <c r="DH1" s="139"/>
      <c r="DI1" s="139"/>
      <c r="DJ1" s="139"/>
      <c r="DK1" s="139"/>
      <c r="DL1" s="139"/>
      <c r="DM1" s="139"/>
      <c r="DN1" s="139"/>
      <c r="DO1" s="139"/>
      <c r="DP1" s="139"/>
      <c r="DQ1" s="139"/>
      <c r="DS1" s="120" t="s">
        <v>180</v>
      </c>
      <c r="DT1" s="11"/>
      <c r="DU1" s="11"/>
      <c r="DV1" s="51"/>
      <c r="DW1" s="11"/>
      <c r="DX1" s="39"/>
      <c r="DY1" s="39"/>
      <c r="DZ1" s="39"/>
      <c r="EA1" s="39"/>
      <c r="EB1" s="121"/>
      <c r="EC1" s="120" t="s">
        <v>375</v>
      </c>
      <c r="ED1" s="11"/>
      <c r="EE1" s="11"/>
      <c r="EF1" s="51"/>
      <c r="EG1" s="11"/>
      <c r="EH1" s="39"/>
      <c r="EI1" s="39"/>
      <c r="EJ1" s="39"/>
      <c r="EK1" s="194"/>
      <c r="EL1" s="120" t="s">
        <v>375</v>
      </c>
      <c r="EM1" s="11"/>
      <c r="EN1" s="11"/>
      <c r="EO1" s="51"/>
      <c r="EP1" s="11"/>
      <c r="EQ1" s="39"/>
      <c r="ER1" s="39"/>
      <c r="ES1" s="39"/>
      <c r="ET1" s="194"/>
    </row>
    <row r="2" spans="1:151" ht="19" x14ac:dyDescent="0.25">
      <c r="A2" s="26"/>
      <c r="H2" s="20"/>
      <c r="I2" s="21"/>
      <c r="J2" s="6" t="s">
        <v>94</v>
      </c>
      <c r="K2" s="235"/>
      <c r="L2" s="7"/>
      <c r="M2" s="38" t="s">
        <v>399</v>
      </c>
      <c r="N2" s="7" t="s">
        <v>95</v>
      </c>
      <c r="O2" s="7" t="s">
        <v>96</v>
      </c>
      <c r="P2" s="7" t="s">
        <v>97</v>
      </c>
      <c r="Q2" s="7" t="s">
        <v>101</v>
      </c>
      <c r="R2" s="7" t="s">
        <v>96</v>
      </c>
      <c r="S2" s="7" t="s">
        <v>102</v>
      </c>
      <c r="T2" s="16"/>
      <c r="U2" s="102" t="s">
        <v>185</v>
      </c>
      <c r="V2" s="62"/>
      <c r="W2" s="62" t="s">
        <v>183</v>
      </c>
      <c r="X2" s="62"/>
      <c r="Y2" s="62"/>
      <c r="Z2" s="62" t="s">
        <v>187</v>
      </c>
      <c r="AA2" s="62"/>
      <c r="AB2" s="62"/>
      <c r="AC2" s="62" t="s">
        <v>183</v>
      </c>
      <c r="AD2" s="62"/>
      <c r="AE2" s="62"/>
      <c r="AF2" s="62" t="s">
        <v>187</v>
      </c>
      <c r="AG2" s="62"/>
      <c r="AH2" s="62"/>
      <c r="AI2" s="101"/>
      <c r="AJ2" s="64" t="s">
        <v>86</v>
      </c>
      <c r="AK2" s="37"/>
      <c r="AL2" s="37"/>
      <c r="AM2" s="37" t="s">
        <v>379</v>
      </c>
      <c r="AN2" s="37" t="s">
        <v>379</v>
      </c>
      <c r="AO2" s="37" t="s">
        <v>379</v>
      </c>
      <c r="AP2" s="37" t="s">
        <v>394</v>
      </c>
      <c r="AQ2" s="37" t="s">
        <v>394</v>
      </c>
      <c r="AR2" s="37" t="s">
        <v>380</v>
      </c>
      <c r="AS2" s="37" t="s">
        <v>380</v>
      </c>
      <c r="AT2" s="37" t="s">
        <v>380</v>
      </c>
      <c r="AU2" s="37" t="s">
        <v>395</v>
      </c>
      <c r="AV2" s="37" t="s">
        <v>381</v>
      </c>
      <c r="AW2" s="37" t="s">
        <v>382</v>
      </c>
      <c r="AX2" s="37" t="s">
        <v>383</v>
      </c>
      <c r="AY2" s="37" t="s">
        <v>382</v>
      </c>
      <c r="AZ2" s="37" t="s">
        <v>384</v>
      </c>
      <c r="BA2" s="37" t="s">
        <v>384</v>
      </c>
      <c r="BB2" s="58"/>
      <c r="BC2" s="7" t="s">
        <v>232</v>
      </c>
      <c r="BD2" s="7"/>
      <c r="BE2" s="7"/>
      <c r="BF2" s="7" t="s">
        <v>385</v>
      </c>
      <c r="BG2" s="7"/>
      <c r="BH2" s="7"/>
      <c r="BI2" s="49" t="s">
        <v>386</v>
      </c>
      <c r="BJ2" s="7"/>
      <c r="BK2" s="7"/>
      <c r="BL2" s="6" t="s">
        <v>387</v>
      </c>
      <c r="BM2" s="7"/>
      <c r="BN2" s="62"/>
      <c r="BO2" s="114"/>
      <c r="BP2" s="7" t="s">
        <v>231</v>
      </c>
      <c r="BQ2" s="7"/>
      <c r="BR2" s="7"/>
      <c r="BS2" s="7" t="s">
        <v>385</v>
      </c>
      <c r="BT2" s="7"/>
      <c r="BU2" s="7"/>
      <c r="BV2" s="49" t="s">
        <v>386</v>
      </c>
      <c r="BW2" s="7"/>
      <c r="BX2" s="7"/>
      <c r="BY2" s="6" t="s">
        <v>387</v>
      </c>
      <c r="BZ2" s="7"/>
      <c r="CA2" s="62"/>
      <c r="CB2" s="122"/>
      <c r="CC2" s="154" t="s">
        <v>290</v>
      </c>
      <c r="CD2" s="165"/>
      <c r="CE2" s="168" t="s">
        <v>388</v>
      </c>
      <c r="CF2" s="168"/>
      <c r="CG2" s="168"/>
      <c r="CH2" s="168"/>
      <c r="CI2" s="168"/>
      <c r="CJ2" s="170"/>
      <c r="CK2" s="168" t="s">
        <v>389</v>
      </c>
      <c r="CL2" s="168"/>
      <c r="CM2" s="168"/>
      <c r="CN2" s="168"/>
      <c r="CO2" s="168"/>
      <c r="CP2" s="170"/>
      <c r="CQ2" s="168" t="s">
        <v>390</v>
      </c>
      <c r="CR2" s="168"/>
      <c r="CS2" s="168"/>
      <c r="CT2" s="168"/>
      <c r="CU2" s="168"/>
      <c r="CV2" s="168"/>
      <c r="CW2" s="122"/>
      <c r="CX2" s="168" t="s">
        <v>306</v>
      </c>
      <c r="CY2" s="168"/>
      <c r="CZ2" s="168" t="s">
        <v>311</v>
      </c>
      <c r="DA2" s="168"/>
      <c r="DB2" s="168"/>
      <c r="DC2" s="168"/>
      <c r="DD2" s="168"/>
      <c r="DE2" s="168"/>
      <c r="DF2" s="168"/>
      <c r="DG2" s="168"/>
      <c r="DH2" s="170"/>
      <c r="DI2" s="168" t="s">
        <v>391</v>
      </c>
      <c r="DJ2" s="168"/>
      <c r="DK2" s="168"/>
      <c r="DL2" s="168"/>
      <c r="DM2" s="168"/>
      <c r="DN2" s="168"/>
      <c r="DO2" s="168"/>
      <c r="DP2" s="168"/>
      <c r="DQ2" s="168"/>
      <c r="DR2" s="122"/>
      <c r="DS2" s="60" t="s">
        <v>105</v>
      </c>
      <c r="DT2" s="8"/>
      <c r="DU2" s="8"/>
      <c r="DV2" s="57" t="s">
        <v>104</v>
      </c>
      <c r="DW2" s="8"/>
      <c r="DX2" s="40"/>
      <c r="DY2" s="52" t="s">
        <v>108</v>
      </c>
      <c r="DZ2" s="50"/>
      <c r="EA2" s="50"/>
      <c r="EB2" s="122"/>
      <c r="EC2" s="60" t="s">
        <v>293</v>
      </c>
      <c r="ED2" s="8"/>
      <c r="EE2" s="8"/>
      <c r="EF2" s="57" t="s">
        <v>104</v>
      </c>
      <c r="EG2" s="8"/>
      <c r="EH2" s="40"/>
      <c r="EI2" s="52" t="s">
        <v>108</v>
      </c>
      <c r="EJ2" s="50"/>
      <c r="EK2" s="195"/>
      <c r="EL2" s="60" t="s">
        <v>293</v>
      </c>
      <c r="EM2" s="8"/>
      <c r="EN2" s="8"/>
      <c r="EO2" s="57" t="s">
        <v>104</v>
      </c>
      <c r="EP2" s="8"/>
      <c r="EQ2" s="40"/>
      <c r="ER2" s="52" t="s">
        <v>108</v>
      </c>
      <c r="ES2" s="50"/>
      <c r="ET2" s="195"/>
    </row>
    <row r="3" spans="1:151" x14ac:dyDescent="0.2">
      <c r="A3" s="15" t="s">
        <v>0</v>
      </c>
      <c r="B3" s="15" t="s">
        <v>9</v>
      </c>
      <c r="C3" s="15" t="s">
        <v>2</v>
      </c>
      <c r="D3" s="15" t="s">
        <v>1</v>
      </c>
      <c r="E3" s="15" t="s">
        <v>3</v>
      </c>
      <c r="F3" s="15" t="s">
        <v>6</v>
      </c>
      <c r="G3" s="15" t="s">
        <v>5</v>
      </c>
      <c r="H3" s="22"/>
      <c r="I3" s="23"/>
      <c r="J3" s="9" t="s">
        <v>74</v>
      </c>
      <c r="K3" s="236" t="s">
        <v>129</v>
      </c>
      <c r="L3" s="9" t="s">
        <v>1</v>
      </c>
      <c r="M3" s="239"/>
      <c r="N3" s="10"/>
      <c r="O3" s="10" t="s">
        <v>76</v>
      </c>
      <c r="P3" s="10" t="s">
        <v>99</v>
      </c>
      <c r="Q3" s="10" t="s">
        <v>100</v>
      </c>
      <c r="R3" s="10" t="s">
        <v>100</v>
      </c>
      <c r="S3" s="10" t="s">
        <v>100</v>
      </c>
      <c r="T3" s="17"/>
      <c r="U3" s="103" t="s">
        <v>182</v>
      </c>
      <c r="V3" s="103" t="s">
        <v>184</v>
      </c>
      <c r="W3" s="100" t="s">
        <v>101</v>
      </c>
      <c r="X3" s="100" t="s">
        <v>96</v>
      </c>
      <c r="Y3" s="100" t="s">
        <v>102</v>
      </c>
      <c r="Z3" s="100" t="s">
        <v>101</v>
      </c>
      <c r="AA3" s="100" t="s">
        <v>96</v>
      </c>
      <c r="AB3" s="100" t="s">
        <v>102</v>
      </c>
      <c r="AC3" s="100" t="s">
        <v>101</v>
      </c>
      <c r="AD3" s="100" t="s">
        <v>96</v>
      </c>
      <c r="AE3" s="100" t="s">
        <v>102</v>
      </c>
      <c r="AF3" s="100" t="s">
        <v>101</v>
      </c>
      <c r="AG3" s="100" t="s">
        <v>96</v>
      </c>
      <c r="AH3" s="100" t="s">
        <v>102</v>
      </c>
      <c r="AI3" s="17"/>
      <c r="AJ3" s="10" t="s">
        <v>85</v>
      </c>
      <c r="AK3" s="10" t="s">
        <v>89</v>
      </c>
      <c r="AL3" s="10" t="s">
        <v>90</v>
      </c>
      <c r="AM3" s="10" t="s">
        <v>352</v>
      </c>
      <c r="AN3" s="10" t="s">
        <v>353</v>
      </c>
      <c r="AO3" s="10" t="s">
        <v>110</v>
      </c>
      <c r="AP3" s="10" t="s">
        <v>91</v>
      </c>
      <c r="AQ3" s="10" t="s">
        <v>92</v>
      </c>
      <c r="AR3" s="10" t="s">
        <v>354</v>
      </c>
      <c r="AS3" s="10" t="s">
        <v>355</v>
      </c>
      <c r="AT3" s="10" t="s">
        <v>111</v>
      </c>
      <c r="AU3" s="10" t="s">
        <v>91</v>
      </c>
      <c r="AV3" s="10" t="s">
        <v>92</v>
      </c>
      <c r="AW3" s="10" t="s">
        <v>354</v>
      </c>
      <c r="AX3" s="10" t="s">
        <v>356</v>
      </c>
      <c r="AY3" s="10" t="s">
        <v>111</v>
      </c>
      <c r="AZ3" s="10" t="s">
        <v>114</v>
      </c>
      <c r="BA3" s="10" t="s">
        <v>115</v>
      </c>
      <c r="BB3" s="58"/>
      <c r="BC3" s="9" t="s">
        <v>77</v>
      </c>
      <c r="BD3" s="9" t="s">
        <v>78</v>
      </c>
      <c r="BE3" s="9" t="s">
        <v>79</v>
      </c>
      <c r="BF3" s="45" t="s">
        <v>117</v>
      </c>
      <c r="BG3" s="10" t="s">
        <v>121</v>
      </c>
      <c r="BH3" s="10" t="s">
        <v>122</v>
      </c>
      <c r="BI3" s="45" t="s">
        <v>117</v>
      </c>
      <c r="BJ3" s="10" t="s">
        <v>121</v>
      </c>
      <c r="BK3" s="10" t="s">
        <v>122</v>
      </c>
      <c r="BL3" s="46" t="s">
        <v>117</v>
      </c>
      <c r="BM3" s="10" t="s">
        <v>121</v>
      </c>
      <c r="BN3" s="10" t="s">
        <v>122</v>
      </c>
      <c r="BO3" s="115"/>
      <c r="BP3" s="9" t="s">
        <v>77</v>
      </c>
      <c r="BQ3" s="9" t="s">
        <v>78</v>
      </c>
      <c r="BR3" s="9" t="s">
        <v>79</v>
      </c>
      <c r="BS3" s="45" t="s">
        <v>117</v>
      </c>
      <c r="BT3" s="10" t="s">
        <v>121</v>
      </c>
      <c r="BU3" s="10" t="s">
        <v>122</v>
      </c>
      <c r="BV3" s="45" t="s">
        <v>117</v>
      </c>
      <c r="BW3" s="10" t="s">
        <v>121</v>
      </c>
      <c r="BX3" s="10" t="s">
        <v>122</v>
      </c>
      <c r="BY3" s="46" t="s">
        <v>117</v>
      </c>
      <c r="BZ3" s="10" t="s">
        <v>121</v>
      </c>
      <c r="CA3" s="10" t="s">
        <v>122</v>
      </c>
      <c r="CB3" s="123"/>
      <c r="CC3" s="9" t="s">
        <v>277</v>
      </c>
      <c r="CD3" s="166" t="s">
        <v>278</v>
      </c>
      <c r="CE3" s="168" t="s">
        <v>117</v>
      </c>
      <c r="CF3" s="168" t="s">
        <v>117</v>
      </c>
      <c r="CG3" s="168" t="s">
        <v>121</v>
      </c>
      <c r="CH3" s="168" t="s">
        <v>121</v>
      </c>
      <c r="CI3" s="168" t="s">
        <v>122</v>
      </c>
      <c r="CJ3" s="170" t="s">
        <v>122</v>
      </c>
      <c r="CK3" s="168" t="s">
        <v>117</v>
      </c>
      <c r="CL3" s="168" t="s">
        <v>117</v>
      </c>
      <c r="CM3" s="168" t="s">
        <v>121</v>
      </c>
      <c r="CN3" s="168" t="s">
        <v>121</v>
      </c>
      <c r="CO3" s="168" t="s">
        <v>122</v>
      </c>
      <c r="CP3" s="170" t="s">
        <v>122</v>
      </c>
      <c r="CQ3" s="168" t="s">
        <v>117</v>
      </c>
      <c r="CR3" s="168" t="s">
        <v>117</v>
      </c>
      <c r="CS3" s="168" t="s">
        <v>121</v>
      </c>
      <c r="CT3" s="168" t="s">
        <v>121</v>
      </c>
      <c r="CU3" s="168" t="s">
        <v>122</v>
      </c>
      <c r="CV3" s="168" t="s">
        <v>122</v>
      </c>
      <c r="CW3" s="123"/>
      <c r="CX3" s="9" t="s">
        <v>307</v>
      </c>
      <c r="CY3" s="9" t="s">
        <v>308</v>
      </c>
      <c r="CZ3" s="168" t="s">
        <v>105</v>
      </c>
      <c r="DA3" s="168"/>
      <c r="DB3" s="168"/>
      <c r="DC3" s="168" t="s">
        <v>104</v>
      </c>
      <c r="DD3" s="168"/>
      <c r="DE3" s="168"/>
      <c r="DF3" s="168" t="s">
        <v>108</v>
      </c>
      <c r="DG3" s="168"/>
      <c r="DH3" s="170"/>
      <c r="DI3" s="168" t="s">
        <v>105</v>
      </c>
      <c r="DJ3" s="168"/>
      <c r="DK3" s="168"/>
      <c r="DL3" s="168" t="s">
        <v>104</v>
      </c>
      <c r="DM3" s="168"/>
      <c r="DN3" s="168"/>
      <c r="DO3" s="168" t="s">
        <v>108</v>
      </c>
      <c r="DP3" s="168"/>
      <c r="DQ3" s="170"/>
      <c r="DR3" s="123"/>
      <c r="DS3" s="10" t="s">
        <v>80</v>
      </c>
      <c r="DT3" s="10" t="s">
        <v>81</v>
      </c>
      <c r="DU3" s="41" t="s">
        <v>82</v>
      </c>
      <c r="DV3" s="46" t="s">
        <v>80</v>
      </c>
      <c r="DW3" s="10" t="s">
        <v>81</v>
      </c>
      <c r="DX3" s="41" t="s">
        <v>82</v>
      </c>
      <c r="DY3" s="46" t="s">
        <v>80</v>
      </c>
      <c r="DZ3" s="10" t="s">
        <v>81</v>
      </c>
      <c r="EA3" s="41" t="s">
        <v>82</v>
      </c>
      <c r="EB3" s="123"/>
      <c r="EC3" s="10" t="s">
        <v>316</v>
      </c>
      <c r="ED3" s="10"/>
      <c r="EE3" s="41"/>
      <c r="EF3" s="46" t="s">
        <v>315</v>
      </c>
      <c r="EG3" s="10"/>
      <c r="EH3" s="41"/>
      <c r="EI3" s="46" t="s">
        <v>315</v>
      </c>
      <c r="EJ3" s="10"/>
      <c r="EK3" s="196"/>
      <c r="EL3" s="10" t="s">
        <v>317</v>
      </c>
      <c r="EM3" s="10"/>
      <c r="EN3" s="41"/>
      <c r="EO3" s="46" t="s">
        <v>314</v>
      </c>
      <c r="EP3" s="10"/>
      <c r="EQ3" s="41"/>
      <c r="ER3" s="46" t="s">
        <v>314</v>
      </c>
      <c r="ES3" s="10"/>
      <c r="ET3" s="196"/>
      <c r="EU3" s="1"/>
    </row>
    <row r="4" spans="1:151" ht="19" x14ac:dyDescent="0.25">
      <c r="A4" s="24" t="s">
        <v>75</v>
      </c>
      <c r="B4" s="25"/>
      <c r="C4" s="25"/>
      <c r="D4" s="25"/>
      <c r="E4" s="25"/>
      <c r="F4" s="25"/>
      <c r="G4" s="25"/>
      <c r="H4" s="22"/>
      <c r="I4" s="23"/>
      <c r="J4" s="9"/>
      <c r="K4" s="236" t="s">
        <v>130</v>
      </c>
      <c r="L4" s="9"/>
      <c r="M4" s="239"/>
      <c r="N4" s="10"/>
      <c r="O4" s="10" t="s">
        <v>378</v>
      </c>
      <c r="P4" s="10" t="s">
        <v>378</v>
      </c>
      <c r="Q4" s="10"/>
      <c r="R4" s="10"/>
      <c r="S4" s="10"/>
      <c r="T4" s="17"/>
      <c r="U4" s="103" t="s">
        <v>186</v>
      </c>
      <c r="V4" s="103"/>
      <c r="W4" s="10" t="s">
        <v>378</v>
      </c>
      <c r="X4" s="10" t="s">
        <v>378</v>
      </c>
      <c r="Y4" s="10" t="s">
        <v>378</v>
      </c>
      <c r="Z4" s="10" t="s">
        <v>378</v>
      </c>
      <c r="AA4" s="10" t="s">
        <v>378</v>
      </c>
      <c r="AB4" s="10" t="s">
        <v>378</v>
      </c>
      <c r="AC4" s="10"/>
      <c r="AD4" s="10"/>
      <c r="AE4" s="10"/>
      <c r="AF4" s="10"/>
      <c r="AG4" s="10"/>
      <c r="AH4" s="10"/>
      <c r="AI4" s="17"/>
      <c r="AJ4" s="10"/>
      <c r="AK4" s="10" t="s">
        <v>88</v>
      </c>
      <c r="AL4" s="10"/>
      <c r="AM4" s="10"/>
      <c r="AN4" s="232">
        <v>-0.5</v>
      </c>
      <c r="AO4" s="10"/>
      <c r="AP4" s="10"/>
      <c r="AQ4" s="10"/>
      <c r="AR4" s="10"/>
      <c r="AS4" s="10"/>
      <c r="AT4" s="10"/>
      <c r="AU4" s="10"/>
      <c r="AV4" s="10"/>
      <c r="AW4" s="10"/>
      <c r="AX4" s="10"/>
      <c r="AY4" s="10"/>
      <c r="AZ4" s="10"/>
      <c r="BA4" s="10"/>
      <c r="BB4" s="17"/>
      <c r="BC4" s="9"/>
      <c r="BD4" s="9"/>
      <c r="BE4" s="9"/>
      <c r="BF4" s="46"/>
      <c r="BG4" s="10"/>
      <c r="BH4" s="10"/>
      <c r="BI4" s="46"/>
      <c r="BJ4" s="10"/>
      <c r="BK4" s="10"/>
      <c r="BL4" s="46"/>
      <c r="BM4" s="10"/>
      <c r="BN4" s="10"/>
      <c r="BO4" s="116"/>
      <c r="BP4" s="124">
        <v>0.88480000000000003</v>
      </c>
      <c r="BQ4" s="124">
        <v>0.94579999999999997</v>
      </c>
      <c r="BR4" s="124">
        <v>0.97699999999999998</v>
      </c>
      <c r="BS4" s="46"/>
      <c r="BT4" s="10"/>
      <c r="BU4" s="10"/>
      <c r="BV4" s="46"/>
      <c r="BW4" s="10"/>
      <c r="BX4" s="10"/>
      <c r="BY4" s="46"/>
      <c r="BZ4" s="10"/>
      <c r="CA4" s="10"/>
      <c r="CB4" s="123"/>
      <c r="CC4" s="124">
        <v>0.68</v>
      </c>
      <c r="CD4" s="167">
        <v>0.32</v>
      </c>
      <c r="CE4" s="168" t="s">
        <v>281</v>
      </c>
      <c r="CF4" s="168" t="s">
        <v>283</v>
      </c>
      <c r="CG4" s="168" t="s">
        <v>281</v>
      </c>
      <c r="CH4" s="168" t="s">
        <v>283</v>
      </c>
      <c r="CI4" s="168" t="s">
        <v>281</v>
      </c>
      <c r="CJ4" s="170" t="s">
        <v>283</v>
      </c>
      <c r="CK4" s="168" t="s">
        <v>281</v>
      </c>
      <c r="CL4" s="168" t="s">
        <v>283</v>
      </c>
      <c r="CM4" s="168" t="s">
        <v>281</v>
      </c>
      <c r="CN4" s="168" t="s">
        <v>283</v>
      </c>
      <c r="CO4" s="168" t="s">
        <v>281</v>
      </c>
      <c r="CP4" s="170" t="s">
        <v>283</v>
      </c>
      <c r="CQ4" s="168" t="s">
        <v>281</v>
      </c>
      <c r="CR4" s="168" t="s">
        <v>283</v>
      </c>
      <c r="CS4" s="168" t="s">
        <v>281</v>
      </c>
      <c r="CT4" s="168" t="s">
        <v>283</v>
      </c>
      <c r="CU4" s="168" t="s">
        <v>281</v>
      </c>
      <c r="CV4" s="168" t="s">
        <v>283</v>
      </c>
      <c r="CW4" s="123"/>
      <c r="CX4" s="124" t="s">
        <v>297</v>
      </c>
      <c r="CY4" s="124" t="s">
        <v>310</v>
      </c>
      <c r="CZ4" s="168" t="s">
        <v>117</v>
      </c>
      <c r="DA4" s="168" t="s">
        <v>121</v>
      </c>
      <c r="DB4" s="168" t="s">
        <v>122</v>
      </c>
      <c r="DC4" s="168" t="s">
        <v>117</v>
      </c>
      <c r="DD4" s="168" t="s">
        <v>121</v>
      </c>
      <c r="DE4" s="168" t="s">
        <v>122</v>
      </c>
      <c r="DF4" s="168" t="s">
        <v>117</v>
      </c>
      <c r="DG4" s="168" t="s">
        <v>121</v>
      </c>
      <c r="DH4" s="170" t="s">
        <v>122</v>
      </c>
      <c r="DI4" s="168" t="s">
        <v>117</v>
      </c>
      <c r="DJ4" s="168" t="s">
        <v>121</v>
      </c>
      <c r="DK4" s="168" t="s">
        <v>122</v>
      </c>
      <c r="DL4" s="168" t="s">
        <v>117</v>
      </c>
      <c r="DM4" s="168" t="s">
        <v>121</v>
      </c>
      <c r="DN4" s="168" t="s">
        <v>122</v>
      </c>
      <c r="DO4" s="168" t="s">
        <v>117</v>
      </c>
      <c r="DP4" s="168" t="s">
        <v>121</v>
      </c>
      <c r="DQ4" s="170" t="s">
        <v>122</v>
      </c>
      <c r="DR4" s="123"/>
      <c r="DS4" s="10"/>
      <c r="DT4" s="10"/>
      <c r="DU4" s="10"/>
      <c r="DV4" s="46"/>
      <c r="DW4" s="10"/>
      <c r="DX4" s="41"/>
      <c r="DY4" s="53"/>
      <c r="DZ4" s="41"/>
      <c r="EA4" s="41"/>
      <c r="EB4" s="123"/>
      <c r="EC4" s="10" t="s">
        <v>80</v>
      </c>
      <c r="ED4" s="10" t="s">
        <v>81</v>
      </c>
      <c r="EE4" s="41" t="s">
        <v>82</v>
      </c>
      <c r="EF4" s="46" t="s">
        <v>80</v>
      </c>
      <c r="EG4" s="10" t="s">
        <v>81</v>
      </c>
      <c r="EH4" s="41" t="s">
        <v>82</v>
      </c>
      <c r="EI4" s="46" t="s">
        <v>80</v>
      </c>
      <c r="EJ4" s="10" t="s">
        <v>81</v>
      </c>
      <c r="EK4" s="196" t="s">
        <v>82</v>
      </c>
      <c r="EL4" s="10" t="s">
        <v>80</v>
      </c>
      <c r="EM4" s="10" t="s">
        <v>81</v>
      </c>
      <c r="EN4" s="41" t="s">
        <v>82</v>
      </c>
      <c r="EO4" s="46" t="s">
        <v>80</v>
      </c>
      <c r="EP4" s="10" t="s">
        <v>81</v>
      </c>
      <c r="EQ4" s="41" t="s">
        <v>82</v>
      </c>
      <c r="ER4" s="46" t="s">
        <v>80</v>
      </c>
      <c r="ES4" s="10" t="s">
        <v>81</v>
      </c>
      <c r="ET4" s="196" t="s">
        <v>82</v>
      </c>
      <c r="EU4" s="1"/>
    </row>
    <row r="5" spans="1:151" x14ac:dyDescent="0.2">
      <c r="A5" s="3" t="s">
        <v>4</v>
      </c>
      <c r="B5">
        <v>1168</v>
      </c>
      <c r="C5">
        <v>23</v>
      </c>
      <c r="D5">
        <v>1.67</v>
      </c>
      <c r="E5">
        <v>0.13</v>
      </c>
      <c r="F5" t="s">
        <v>7</v>
      </c>
      <c r="G5" t="s">
        <v>124</v>
      </c>
      <c r="H5" s="20"/>
      <c r="I5" s="21"/>
      <c r="J5">
        <v>152</v>
      </c>
      <c r="K5" s="94">
        <v>38.987000000000002</v>
      </c>
      <c r="L5">
        <v>1.67</v>
      </c>
      <c r="M5" s="38">
        <v>253.84</v>
      </c>
      <c r="N5" s="27"/>
      <c r="O5" s="27">
        <f t="shared" ref="O5:O22" si="0">J5*K5*L5</f>
        <v>9896.4600800000007</v>
      </c>
      <c r="P5" s="27"/>
      <c r="Q5" s="27"/>
      <c r="R5" s="27">
        <f>O5+O6+O7+O8+O9+O10+O11+O12+O13+O14+O15+O16+O17+O18+O19+O20+O21+O22</f>
        <v>196934.25336000006</v>
      </c>
      <c r="S5" s="27"/>
      <c r="T5" s="18"/>
      <c r="U5">
        <v>2.3999999999999998E-3</v>
      </c>
      <c r="V5">
        <v>0.99760000000000004</v>
      </c>
      <c r="W5" s="94"/>
      <c r="X5" s="94">
        <f xml:space="preserve"> O5 * U5</f>
        <v>23.751504191999999</v>
      </c>
      <c r="Y5" s="94"/>
      <c r="Z5" s="94"/>
      <c r="AA5" s="94">
        <f xml:space="preserve"> O5 * V5</f>
        <v>9872.7085758080011</v>
      </c>
      <c r="AB5" s="94"/>
      <c r="AC5" s="27"/>
      <c r="AD5" s="27">
        <f xml:space="preserve"> R5 * U5</f>
        <v>472.6422080640001</v>
      </c>
      <c r="AE5" s="27"/>
      <c r="AF5" s="27"/>
      <c r="AG5" s="27">
        <f xml:space="preserve"> R5 * V5</f>
        <v>196461.61115193606</v>
      </c>
      <c r="AH5" s="27"/>
      <c r="AI5" s="18"/>
      <c r="AJ5">
        <v>160</v>
      </c>
      <c r="AK5" s="34">
        <f>$AJ5/8760</f>
        <v>1.8264840182648401E-2</v>
      </c>
      <c r="AL5" s="34">
        <f t="shared" ref="AL5:AL22" si="1">1- AK5</f>
        <v>0.9817351598173516</v>
      </c>
      <c r="AM5" s="94"/>
      <c r="AN5" s="94"/>
      <c r="AO5" s="94"/>
      <c r="AP5" s="27"/>
      <c r="AQ5" s="27"/>
      <c r="AR5" s="94">
        <f>$AK5*$AA5</f>
        <v>180.32344430699544</v>
      </c>
      <c r="AS5" s="94">
        <f xml:space="preserve"> AR5 / 2</f>
        <v>90.16172215349772</v>
      </c>
      <c r="AT5" s="27">
        <f>$AL5*$AA5 + AS5</f>
        <v>9782.5468536545031</v>
      </c>
      <c r="AU5" s="27">
        <f xml:space="preserve"> SUM(AS5:AS22)</f>
        <v>1029.3567024606787</v>
      </c>
      <c r="AV5" s="27">
        <f>$AT5+$AT6+$AT7+$AT8+$AT9+$AT10+$AT11+$AT12+$AT13+$AT14+$AT15+$AT16+$AT17+$AT18+$AT19+$AT20+$AT21+$AT22</f>
        <v>195432.25444947538</v>
      </c>
      <c r="AW5" s="94"/>
      <c r="AX5" s="94"/>
      <c r="AY5" s="27"/>
      <c r="AZ5" s="27"/>
      <c r="BA5" s="27"/>
      <c r="BB5" s="18"/>
      <c r="BC5" s="34">
        <v>0.1152</v>
      </c>
      <c r="BD5" s="34">
        <v>5.4199999999999998E-2</v>
      </c>
      <c r="BE5">
        <v>2.3E-2</v>
      </c>
      <c r="BF5" s="47"/>
      <c r="BG5" s="27"/>
      <c r="BH5" s="27"/>
      <c r="BI5" s="47">
        <f>$AV5*$BC5</f>
        <v>22513.795712579562</v>
      </c>
      <c r="BJ5" s="27">
        <f>$AV5*$BD5</f>
        <v>10592.428191161565</v>
      </c>
      <c r="BK5" s="27">
        <f>$AV5*$BE5</f>
        <v>4494.9418523379336</v>
      </c>
      <c r="BL5" s="47"/>
      <c r="BM5" s="27"/>
      <c r="BN5" s="27"/>
      <c r="BO5" s="117"/>
      <c r="BP5" s="34">
        <f xml:space="preserve"> 1 - BC5</f>
        <v>0.88480000000000003</v>
      </c>
      <c r="BQ5" s="34">
        <f xml:space="preserve"> 1 - BD5</f>
        <v>0.94579999999999997</v>
      </c>
      <c r="BR5">
        <f xml:space="preserve"> 1 - BE5</f>
        <v>0.97699999999999998</v>
      </c>
      <c r="BS5" s="47"/>
      <c r="BT5" s="27"/>
      <c r="BU5" s="27"/>
      <c r="BV5" s="47">
        <f xml:space="preserve"> AV5 * BP5</f>
        <v>172918.45873689582</v>
      </c>
      <c r="BW5" s="27">
        <f xml:space="preserve"> AV5 * BQ5</f>
        <v>184839.82625831381</v>
      </c>
      <c r="BX5" s="27">
        <f xml:space="preserve"> AV5 * BR5</f>
        <v>190937.31259713744</v>
      </c>
      <c r="BY5" s="47"/>
      <c r="BZ5" s="27"/>
      <c r="CA5" s="27"/>
      <c r="CC5">
        <f xml:space="preserve"> 1 - 0.32</f>
        <v>0.67999999999999994</v>
      </c>
      <c r="CD5">
        <f>1-0.68</f>
        <v>0.31999999999999995</v>
      </c>
      <c r="CK5" s="27">
        <f xml:space="preserve"> BV5 * CC5</f>
        <v>117584.55194108914</v>
      </c>
      <c r="CL5" s="27">
        <f xml:space="preserve"> BV5 * CD5</f>
        <v>55333.906795806652</v>
      </c>
      <c r="CM5" s="27">
        <f xml:space="preserve"> BW5 * CC5</f>
        <v>125691.08185565338</v>
      </c>
      <c r="CN5" s="27">
        <f xml:space="preserve"> BW5 * CD5</f>
        <v>59148.744402660413</v>
      </c>
      <c r="CO5" s="27">
        <f xml:space="preserve"> BX5 * CC5</f>
        <v>129837.37256605344</v>
      </c>
      <c r="CP5" s="27">
        <f xml:space="preserve"> BX5 * CD5</f>
        <v>61099.94003108397</v>
      </c>
      <c r="CX5">
        <f xml:space="preserve"> 1 - 0.01</f>
        <v>0.99</v>
      </c>
      <c r="CY5">
        <v>0.75</v>
      </c>
      <c r="DC5" s="27">
        <f xml:space="preserve"> CK5 * CX5</f>
        <v>116408.70642167825</v>
      </c>
      <c r="DD5" s="27">
        <f xml:space="preserve"> CM5 * CX5</f>
        <v>124434.17103709684</v>
      </c>
      <c r="DE5" s="27">
        <f xml:space="preserve"> CO5 * CX5</f>
        <v>128538.9988403929</v>
      </c>
      <c r="DL5" s="27">
        <f xml:space="preserve"> CK5 * CY5</f>
        <v>88188.413955816854</v>
      </c>
      <c r="DM5" s="27">
        <f xml:space="preserve"> CM5 * CY5</f>
        <v>94268.311391740033</v>
      </c>
      <c r="DN5" s="27">
        <f xml:space="preserve"> CO5 * CY5</f>
        <v>97378.029424540087</v>
      </c>
      <c r="DS5" s="27"/>
      <c r="DT5" s="27"/>
      <c r="DU5" s="27"/>
      <c r="DV5" s="47">
        <f>$BI5+$AU5</f>
        <v>23543.15241504024</v>
      </c>
      <c r="DW5" s="27">
        <f>$BJ5+$AU5</f>
        <v>11621.784893622244</v>
      </c>
      <c r="DX5" s="42">
        <f>$BK5+$AU5</f>
        <v>5524.2985547986118</v>
      </c>
      <c r="DY5" s="54"/>
      <c r="DZ5" s="42"/>
      <c r="EA5" s="42"/>
      <c r="EB5" s="121"/>
      <c r="EC5" s="27"/>
      <c r="ED5" s="27"/>
      <c r="EE5" s="27"/>
      <c r="EF5" s="47">
        <f t="shared" ref="EF5:EH5" si="2" xml:space="preserve"> DL5 + DV5</f>
        <v>111731.56637085709</v>
      </c>
      <c r="EG5" s="27">
        <f t="shared" si="2"/>
        <v>105890.09628536228</v>
      </c>
      <c r="EH5" s="42">
        <f t="shared" si="2"/>
        <v>102902.3279793387</v>
      </c>
      <c r="EI5" s="54"/>
      <c r="EJ5" s="42"/>
      <c r="EK5" s="197"/>
      <c r="EL5" s="27"/>
      <c r="EM5" s="27"/>
      <c r="EN5" s="27"/>
      <c r="EO5" s="47">
        <f xml:space="preserve"> DC5 + DV5</f>
        <v>139951.85883671849</v>
      </c>
      <c r="EP5" s="27">
        <f xml:space="preserve"> DD5 + DW5</f>
        <v>136055.95593071909</v>
      </c>
      <c r="EQ5" s="42">
        <f xml:space="preserve"> DE5 + DX5</f>
        <v>134063.2973951915</v>
      </c>
      <c r="ER5" s="54"/>
      <c r="ES5" s="42"/>
      <c r="ET5" s="197"/>
    </row>
    <row r="6" spans="1:151" x14ac:dyDescent="0.2">
      <c r="A6" s="3" t="s">
        <v>8</v>
      </c>
      <c r="B6">
        <v>1128</v>
      </c>
      <c r="C6">
        <v>41</v>
      </c>
      <c r="D6">
        <v>2.71</v>
      </c>
      <c r="E6">
        <v>0.65</v>
      </c>
      <c r="F6" t="s">
        <v>13</v>
      </c>
      <c r="G6" t="s">
        <v>11</v>
      </c>
      <c r="H6" s="20"/>
      <c r="I6" s="21"/>
      <c r="J6">
        <v>798</v>
      </c>
      <c r="K6" s="94">
        <v>38.987000000000002</v>
      </c>
      <c r="L6">
        <v>0.65</v>
      </c>
      <c r="M6" s="38">
        <v>518.70000000000005</v>
      </c>
      <c r="N6" s="27"/>
      <c r="O6" s="27">
        <f t="shared" si="0"/>
        <v>20222.5569</v>
      </c>
      <c r="P6" s="27"/>
      <c r="Q6" s="27"/>
      <c r="R6" s="27"/>
      <c r="S6" s="27"/>
      <c r="T6" s="18"/>
      <c r="U6">
        <v>2.3999999999999998E-3</v>
      </c>
      <c r="V6">
        <v>0.99760000000000004</v>
      </c>
      <c r="W6" s="94"/>
      <c r="X6" s="94">
        <f t="shared" ref="X6:X22" si="3" xml:space="preserve"> O6 * U6</f>
        <v>48.534136559999993</v>
      </c>
      <c r="Y6" s="94"/>
      <c r="Z6" s="94"/>
      <c r="AA6" s="94">
        <f t="shared" ref="AA6:AA22" si="4" xml:space="preserve"> O6 * V6</f>
        <v>20174.02276344</v>
      </c>
      <c r="AB6" s="94"/>
      <c r="AI6" s="18"/>
      <c r="AJ6">
        <v>0</v>
      </c>
      <c r="AK6" s="34">
        <f t="shared" ref="AK6:AK21" si="5">$AJ6/8760</f>
        <v>0</v>
      </c>
      <c r="AL6" s="34">
        <f t="shared" si="1"/>
        <v>1</v>
      </c>
      <c r="AM6" s="94"/>
      <c r="AN6" s="94"/>
      <c r="AO6" s="94"/>
      <c r="AP6" s="27"/>
      <c r="AQ6" s="27"/>
      <c r="AR6" s="94">
        <f t="shared" ref="AR6:AR22" si="6">$AK6*$AA6</f>
        <v>0</v>
      </c>
      <c r="AS6" s="94">
        <f t="shared" ref="AS6:AS22" si="7" xml:space="preserve"> AR6 / 2</f>
        <v>0</v>
      </c>
      <c r="AT6" s="27">
        <f t="shared" ref="AT6:AT22" si="8">$AL6*$AA6 + AS6</f>
        <v>20174.02276344</v>
      </c>
      <c r="AU6" s="27"/>
      <c r="AV6" s="27"/>
      <c r="AW6" s="94"/>
      <c r="AX6" s="94"/>
      <c r="AY6" s="27"/>
      <c r="AZ6" s="27"/>
      <c r="BA6" s="27"/>
      <c r="BB6" s="18"/>
      <c r="BF6" s="3"/>
      <c r="BI6" s="3"/>
      <c r="BL6" s="3"/>
      <c r="BO6" s="117"/>
      <c r="BS6" s="3"/>
      <c r="BV6" s="3"/>
      <c r="BY6" s="3"/>
      <c r="DV6" s="3"/>
      <c r="DX6" s="38"/>
      <c r="DY6" s="55"/>
      <c r="DZ6" s="38"/>
      <c r="EA6" s="38"/>
      <c r="EB6" s="121"/>
      <c r="EF6" s="3"/>
      <c r="EH6" s="38"/>
      <c r="EI6" s="55"/>
      <c r="EJ6" s="38"/>
      <c r="EK6" s="198"/>
      <c r="EO6" s="3"/>
      <c r="EQ6" s="38"/>
      <c r="ER6" s="55"/>
      <c r="ES6" s="38"/>
      <c r="ET6" s="198"/>
    </row>
    <row r="7" spans="1:151" x14ac:dyDescent="0.2">
      <c r="A7" s="3" t="s">
        <v>10</v>
      </c>
      <c r="B7">
        <v>1869</v>
      </c>
      <c r="C7">
        <v>704</v>
      </c>
      <c r="D7">
        <v>2.25</v>
      </c>
      <c r="F7" t="s">
        <v>14</v>
      </c>
      <c r="G7" t="s">
        <v>125</v>
      </c>
      <c r="H7" s="20"/>
      <c r="I7" s="21"/>
      <c r="J7">
        <v>704</v>
      </c>
      <c r="K7" s="94">
        <v>38.987000000000002</v>
      </c>
      <c r="L7">
        <v>2.25</v>
      </c>
      <c r="M7" s="38">
        <v>1584</v>
      </c>
      <c r="N7" s="27"/>
      <c r="O7" s="27">
        <f t="shared" si="0"/>
        <v>61755.408000000003</v>
      </c>
      <c r="P7" s="27"/>
      <c r="Q7" s="27"/>
      <c r="R7" s="27"/>
      <c r="S7" s="27"/>
      <c r="T7" s="18"/>
      <c r="U7">
        <v>2.3999999999999998E-3</v>
      </c>
      <c r="V7">
        <v>0.99760000000000004</v>
      </c>
      <c r="W7" s="94"/>
      <c r="X7" s="94">
        <f t="shared" si="3"/>
        <v>148.21297920000001</v>
      </c>
      <c r="Y7" s="94"/>
      <c r="Z7" s="94"/>
      <c r="AA7" s="94">
        <f t="shared" si="4"/>
        <v>61607.195020800005</v>
      </c>
      <c r="AB7" s="94"/>
      <c r="AI7" s="18"/>
      <c r="AJ7">
        <v>4</v>
      </c>
      <c r="AK7" s="34">
        <f t="shared" si="5"/>
        <v>4.5662100456621003E-4</v>
      </c>
      <c r="AL7" s="34">
        <f t="shared" si="1"/>
        <v>0.99954337899543377</v>
      </c>
      <c r="AM7" s="94"/>
      <c r="AN7" s="94"/>
      <c r="AO7" s="94"/>
      <c r="AP7" s="27"/>
      <c r="AQ7" s="27"/>
      <c r="AR7" s="94">
        <f t="shared" si="6"/>
        <v>28.131139278904111</v>
      </c>
      <c r="AS7" s="94">
        <f t="shared" si="7"/>
        <v>14.065569639452056</v>
      </c>
      <c r="AT7" s="27">
        <f t="shared" si="8"/>
        <v>61593.129451160552</v>
      </c>
      <c r="AU7" s="27"/>
      <c r="AV7" s="27"/>
      <c r="AW7" s="94"/>
      <c r="AX7" s="94"/>
      <c r="AY7" s="27"/>
      <c r="AZ7" s="27"/>
      <c r="BA7" s="27"/>
      <c r="BB7" s="18"/>
      <c r="BF7" s="3"/>
      <c r="BI7" s="3"/>
      <c r="BL7" s="3"/>
      <c r="BO7" s="117"/>
      <c r="BS7" s="3"/>
      <c r="BV7" s="3"/>
      <c r="BY7" s="3"/>
      <c r="DV7" s="3"/>
      <c r="DX7" s="38"/>
      <c r="DY7" s="55"/>
      <c r="DZ7" s="38"/>
      <c r="EA7" s="38"/>
      <c r="EB7" s="121"/>
      <c r="EF7" s="3"/>
      <c r="EH7" s="38"/>
      <c r="EI7" s="55"/>
      <c r="EJ7" s="38"/>
      <c r="EK7" s="198"/>
      <c r="EO7" s="3"/>
      <c r="EQ7" s="38"/>
      <c r="ER7" s="55"/>
      <c r="ES7" s="38"/>
      <c r="ET7" s="198"/>
    </row>
    <row r="8" spans="1:151" x14ac:dyDescent="0.2">
      <c r="A8" s="3" t="s">
        <v>12</v>
      </c>
      <c r="B8">
        <v>1239</v>
      </c>
      <c r="C8">
        <v>1221</v>
      </c>
      <c r="D8">
        <v>0.17</v>
      </c>
      <c r="F8" t="s">
        <v>15</v>
      </c>
      <c r="G8" t="s">
        <v>126</v>
      </c>
      <c r="H8" s="20"/>
      <c r="I8" s="21"/>
      <c r="J8">
        <v>211</v>
      </c>
      <c r="K8" s="94">
        <v>38.987000000000002</v>
      </c>
      <c r="L8">
        <v>0.17</v>
      </c>
      <c r="M8" s="38">
        <v>35.869999999999997</v>
      </c>
      <c r="N8" s="27"/>
      <c r="O8" s="27">
        <f t="shared" si="0"/>
        <v>1398.46369</v>
      </c>
      <c r="P8" s="27"/>
      <c r="Q8" s="27"/>
      <c r="R8" s="27"/>
      <c r="S8" s="27"/>
      <c r="T8" s="18"/>
      <c r="U8">
        <v>2.3999999999999998E-3</v>
      </c>
      <c r="V8">
        <v>0.99760000000000004</v>
      </c>
      <c r="W8" s="94"/>
      <c r="X8" s="94">
        <f t="shared" si="3"/>
        <v>3.3563128559999997</v>
      </c>
      <c r="Y8" s="94"/>
      <c r="Z8" s="94"/>
      <c r="AA8" s="94">
        <f t="shared" si="4"/>
        <v>1395.1073771440001</v>
      </c>
      <c r="AB8" s="94"/>
      <c r="AI8" s="18"/>
      <c r="AJ8">
        <v>266</v>
      </c>
      <c r="AK8" s="34">
        <f t="shared" si="5"/>
        <v>3.0365296803652967E-2</v>
      </c>
      <c r="AL8" s="34">
        <f t="shared" si="1"/>
        <v>0.96963470319634704</v>
      </c>
      <c r="AM8" s="94"/>
      <c r="AN8" s="94"/>
      <c r="AO8" s="94"/>
      <c r="AP8" s="27"/>
      <c r="AQ8" s="27"/>
      <c r="AR8" s="94">
        <f t="shared" si="6"/>
        <v>42.362849579943379</v>
      </c>
      <c r="AS8" s="94">
        <f t="shared" si="7"/>
        <v>21.18142478997169</v>
      </c>
      <c r="AT8" s="27">
        <f t="shared" si="8"/>
        <v>1373.9259523540284</v>
      </c>
      <c r="AU8" s="27"/>
      <c r="AV8" s="27"/>
      <c r="AW8" s="94"/>
      <c r="AX8" s="94"/>
      <c r="AY8" s="27"/>
      <c r="AZ8" s="27"/>
      <c r="BA8" s="27"/>
      <c r="BB8" s="18"/>
      <c r="BF8" s="3"/>
      <c r="BI8" s="3"/>
      <c r="BL8" s="3"/>
      <c r="BO8" s="117"/>
      <c r="BS8" s="3"/>
      <c r="BV8" s="3"/>
      <c r="BY8" s="3"/>
      <c r="DV8" s="3"/>
      <c r="DX8" s="38"/>
      <c r="DY8" s="55"/>
      <c r="DZ8" s="38"/>
      <c r="EA8" s="38"/>
      <c r="EB8" s="121"/>
      <c r="EF8" s="3"/>
      <c r="EH8" s="38"/>
      <c r="EI8" s="55"/>
      <c r="EJ8" s="38"/>
      <c r="EK8" s="198"/>
      <c r="EO8" s="3"/>
      <c r="EQ8" s="38"/>
      <c r="ER8" s="55"/>
      <c r="ES8" s="38"/>
      <c r="ET8" s="198"/>
    </row>
    <row r="9" spans="1:151" x14ac:dyDescent="0.2">
      <c r="A9" s="3" t="s">
        <v>17</v>
      </c>
      <c r="B9">
        <v>1700.5</v>
      </c>
      <c r="C9">
        <v>744</v>
      </c>
      <c r="D9">
        <v>0.74</v>
      </c>
      <c r="F9" t="s">
        <v>18</v>
      </c>
      <c r="G9" t="s">
        <v>126</v>
      </c>
      <c r="H9" s="20"/>
      <c r="I9" s="21"/>
      <c r="J9">
        <v>1258</v>
      </c>
      <c r="K9" s="94">
        <v>38.987000000000002</v>
      </c>
      <c r="L9">
        <v>0.74</v>
      </c>
      <c r="M9" s="38">
        <v>930.92</v>
      </c>
      <c r="N9" s="27"/>
      <c r="O9" s="27">
        <f t="shared" si="0"/>
        <v>36293.778039999997</v>
      </c>
      <c r="P9" s="27"/>
      <c r="Q9" s="27"/>
      <c r="R9" s="27"/>
      <c r="S9" s="27"/>
      <c r="T9" s="18"/>
      <c r="U9">
        <v>2.3999999999999998E-3</v>
      </c>
      <c r="V9">
        <v>0.99760000000000004</v>
      </c>
      <c r="W9" s="94"/>
      <c r="X9" s="94">
        <f t="shared" si="3"/>
        <v>87.105067295999987</v>
      </c>
      <c r="Y9" s="94"/>
      <c r="Z9" s="94"/>
      <c r="AA9" s="94">
        <f t="shared" si="4"/>
        <v>36206.672972704</v>
      </c>
      <c r="AB9" s="94"/>
      <c r="AI9" s="18"/>
      <c r="AJ9">
        <v>80</v>
      </c>
      <c r="AK9" s="34">
        <f t="shared" si="5"/>
        <v>9.1324200913242004E-3</v>
      </c>
      <c r="AL9" s="34">
        <f t="shared" si="1"/>
        <v>0.9908675799086758</v>
      </c>
      <c r="AM9" s="94"/>
      <c r="AN9" s="94"/>
      <c r="AO9" s="94"/>
      <c r="AP9" s="27"/>
      <c r="AQ9" s="27"/>
      <c r="AR9" s="94">
        <f t="shared" si="6"/>
        <v>330.65454769592691</v>
      </c>
      <c r="AS9" s="94">
        <f t="shared" si="7"/>
        <v>165.32727384796345</v>
      </c>
      <c r="AT9" s="27">
        <f t="shared" si="8"/>
        <v>36041.345698856036</v>
      </c>
      <c r="AU9" s="27"/>
      <c r="AV9" s="27"/>
      <c r="AW9" s="94"/>
      <c r="AX9" s="94"/>
      <c r="AY9" s="27"/>
      <c r="AZ9" s="27"/>
      <c r="BA9" s="27"/>
      <c r="BB9" s="18"/>
      <c r="BF9" s="3"/>
      <c r="BI9" s="3"/>
      <c r="BL9" s="3"/>
      <c r="BO9" s="117"/>
      <c r="BS9" s="3"/>
      <c r="BV9" s="3"/>
      <c r="BY9" s="3"/>
      <c r="DV9" s="3"/>
      <c r="DX9" s="38"/>
      <c r="DY9" s="55"/>
      <c r="DZ9" s="38"/>
      <c r="EA9" s="38"/>
      <c r="EB9" s="121"/>
      <c r="EF9" s="3"/>
      <c r="EH9" s="38"/>
      <c r="EI9" s="55"/>
      <c r="EJ9" s="38"/>
      <c r="EK9" s="198"/>
      <c r="EO9" s="3"/>
      <c r="EQ9" s="38"/>
      <c r="ER9" s="55"/>
      <c r="ES9" s="38"/>
      <c r="ET9" s="198"/>
    </row>
    <row r="10" spans="1:151" x14ac:dyDescent="0.2">
      <c r="A10" s="3" t="s">
        <v>19</v>
      </c>
      <c r="B10">
        <v>1688</v>
      </c>
      <c r="C10">
        <v>152.5</v>
      </c>
      <c r="D10">
        <v>1.29</v>
      </c>
      <c r="E10">
        <v>0.35299999999999998</v>
      </c>
      <c r="F10" t="s">
        <v>25</v>
      </c>
      <c r="G10" t="s">
        <v>124</v>
      </c>
      <c r="H10" s="20"/>
      <c r="I10" s="21"/>
      <c r="J10">
        <v>596</v>
      </c>
      <c r="K10" s="94">
        <v>38.987000000000002</v>
      </c>
      <c r="L10">
        <v>0.35</v>
      </c>
      <c r="M10" s="38">
        <v>208.6</v>
      </c>
      <c r="N10" s="27"/>
      <c r="O10" s="27">
        <f t="shared" si="0"/>
        <v>8132.6881999999996</v>
      </c>
      <c r="P10" s="27"/>
      <c r="Q10" s="27"/>
      <c r="R10" s="27"/>
      <c r="S10" s="27"/>
      <c r="T10" s="18"/>
      <c r="U10">
        <v>2.3999999999999998E-3</v>
      </c>
      <c r="V10">
        <v>0.99760000000000004</v>
      </c>
      <c r="W10" s="94"/>
      <c r="X10" s="94">
        <f t="shared" si="3"/>
        <v>19.518451679999998</v>
      </c>
      <c r="Y10" s="94"/>
      <c r="Z10" s="94"/>
      <c r="AA10" s="94">
        <f t="shared" si="4"/>
        <v>8113.1697483199996</v>
      </c>
      <c r="AB10" s="94"/>
      <c r="AI10" s="18"/>
      <c r="AJ10">
        <v>332</v>
      </c>
      <c r="AK10" s="34">
        <f t="shared" si="5"/>
        <v>3.7899543378995433E-2</v>
      </c>
      <c r="AL10" s="34">
        <f t="shared" si="1"/>
        <v>0.96210045662100452</v>
      </c>
      <c r="AM10" s="94"/>
      <c r="AN10" s="94"/>
      <c r="AO10" s="94"/>
      <c r="AP10" s="27"/>
      <c r="AQ10" s="27"/>
      <c r="AR10" s="94">
        <f t="shared" si="6"/>
        <v>307.48542881760727</v>
      </c>
      <c r="AS10" s="94">
        <f t="shared" si="7"/>
        <v>153.74271440880364</v>
      </c>
      <c r="AT10" s="27">
        <f t="shared" si="8"/>
        <v>7959.4270339111954</v>
      </c>
      <c r="AU10" s="27"/>
      <c r="AV10" s="27"/>
      <c r="AW10" s="94"/>
      <c r="AX10" s="94"/>
      <c r="AY10" s="27"/>
      <c r="AZ10" s="27"/>
      <c r="BA10" s="27"/>
      <c r="BB10" s="18"/>
      <c r="BF10" s="3"/>
      <c r="BI10" s="3"/>
      <c r="BL10" s="3"/>
      <c r="BO10" s="117"/>
      <c r="BS10" s="3"/>
      <c r="BV10" s="3"/>
      <c r="BY10" s="3"/>
      <c r="DV10" s="3"/>
      <c r="DX10" s="38"/>
      <c r="DY10" s="55"/>
      <c r="DZ10" s="38"/>
      <c r="EA10" s="38"/>
      <c r="EB10" s="121"/>
      <c r="EF10" s="3"/>
      <c r="EH10" s="38"/>
      <c r="EI10" s="55"/>
      <c r="EJ10" s="38"/>
      <c r="EK10" s="198"/>
      <c r="EO10" s="3"/>
      <c r="EQ10" s="38"/>
      <c r="ER10" s="55"/>
      <c r="ES10" s="38"/>
      <c r="ET10" s="198"/>
    </row>
    <row r="11" spans="1:151" x14ac:dyDescent="0.2">
      <c r="A11" s="3" t="s">
        <v>20</v>
      </c>
      <c r="B11">
        <v>2122</v>
      </c>
      <c r="C11">
        <v>15</v>
      </c>
      <c r="D11">
        <v>0.24</v>
      </c>
      <c r="E11">
        <v>0.317</v>
      </c>
      <c r="F11" t="s">
        <v>26</v>
      </c>
      <c r="G11" t="s">
        <v>124</v>
      </c>
      <c r="H11" s="20"/>
      <c r="I11" s="21"/>
      <c r="J11">
        <v>673</v>
      </c>
      <c r="K11" s="94">
        <v>38.987000000000002</v>
      </c>
      <c r="L11">
        <v>0.32</v>
      </c>
      <c r="M11" s="38">
        <v>215.36</v>
      </c>
      <c r="N11" s="27"/>
      <c r="O11" s="27">
        <f t="shared" si="0"/>
        <v>8396.2403200000008</v>
      </c>
      <c r="P11" s="27"/>
      <c r="Q11" s="27"/>
      <c r="R11" s="27"/>
      <c r="S11" s="27"/>
      <c r="T11" s="18"/>
      <c r="U11">
        <v>2.3999999999999998E-3</v>
      </c>
      <c r="V11">
        <v>0.99760000000000004</v>
      </c>
      <c r="W11" s="94"/>
      <c r="X11" s="94">
        <f t="shared" si="3"/>
        <v>20.150976768</v>
      </c>
      <c r="Y11" s="94"/>
      <c r="Z11" s="94"/>
      <c r="AA11" s="94">
        <f t="shared" si="4"/>
        <v>8376.0893432320008</v>
      </c>
      <c r="AB11" s="94"/>
      <c r="AI11" s="18"/>
      <c r="AJ11">
        <v>0</v>
      </c>
      <c r="AK11" s="34">
        <f t="shared" si="5"/>
        <v>0</v>
      </c>
      <c r="AL11" s="34">
        <f t="shared" si="1"/>
        <v>1</v>
      </c>
      <c r="AM11" s="94"/>
      <c r="AN11" s="94"/>
      <c r="AO11" s="94"/>
      <c r="AP11" s="27"/>
      <c r="AQ11" s="27"/>
      <c r="AR11" s="94">
        <f t="shared" si="6"/>
        <v>0</v>
      </c>
      <c r="AS11" s="94">
        <f t="shared" si="7"/>
        <v>0</v>
      </c>
      <c r="AT11" s="27">
        <f t="shared" si="8"/>
        <v>8376.0893432320008</v>
      </c>
      <c r="AU11" s="27"/>
      <c r="AV11" s="27"/>
      <c r="AW11" s="94"/>
      <c r="AX11" s="94"/>
      <c r="AY11" s="27"/>
      <c r="AZ11" s="27"/>
      <c r="BA11" s="27"/>
      <c r="BB11" s="18"/>
      <c r="BF11" s="3"/>
      <c r="BI11" s="3"/>
      <c r="BL11" s="3"/>
      <c r="BO11" s="117"/>
      <c r="BS11" s="3"/>
      <c r="BV11" s="3"/>
      <c r="BY11" s="3"/>
      <c r="DV11" s="3"/>
      <c r="DX11" s="38"/>
      <c r="DY11" s="55"/>
      <c r="DZ11" s="38"/>
      <c r="EA11" s="38"/>
      <c r="EB11" s="121"/>
      <c r="EF11" s="3"/>
      <c r="EH11" s="38"/>
      <c r="EI11" s="55"/>
      <c r="EJ11" s="38"/>
      <c r="EK11" s="198"/>
      <c r="EO11" s="3"/>
      <c r="EQ11" s="38"/>
      <c r="ER11" s="55"/>
      <c r="ES11" s="38"/>
      <c r="ET11" s="198"/>
    </row>
    <row r="12" spans="1:151" x14ac:dyDescent="0.2">
      <c r="A12" s="3" t="s">
        <v>21</v>
      </c>
      <c r="B12">
        <v>2122</v>
      </c>
      <c r="C12">
        <v>15</v>
      </c>
      <c r="D12">
        <v>1.36</v>
      </c>
      <c r="E12">
        <v>0.19</v>
      </c>
      <c r="F12" t="s">
        <v>27</v>
      </c>
      <c r="G12" t="s">
        <v>124</v>
      </c>
      <c r="H12" s="20"/>
      <c r="I12" s="21"/>
      <c r="J12">
        <v>403</v>
      </c>
      <c r="K12" s="94">
        <v>38.987000000000002</v>
      </c>
      <c r="L12">
        <v>0.19</v>
      </c>
      <c r="M12" s="38">
        <v>76.569999999999993</v>
      </c>
      <c r="N12" s="27"/>
      <c r="O12" s="27">
        <f t="shared" si="0"/>
        <v>2985.23459</v>
      </c>
      <c r="P12" s="27"/>
      <c r="Q12" s="27"/>
      <c r="R12" s="27"/>
      <c r="S12" s="27"/>
      <c r="T12" s="18"/>
      <c r="U12">
        <v>2.3999999999999998E-3</v>
      </c>
      <c r="V12">
        <v>0.99760000000000004</v>
      </c>
      <c r="W12" s="94"/>
      <c r="X12" s="94">
        <f t="shared" si="3"/>
        <v>7.1645630159999998</v>
      </c>
      <c r="Y12" s="94"/>
      <c r="Z12" s="94"/>
      <c r="AA12" s="94">
        <f t="shared" si="4"/>
        <v>2978.0700269840004</v>
      </c>
      <c r="AB12" s="94"/>
      <c r="AI12" s="18"/>
      <c r="AJ12">
        <v>10</v>
      </c>
      <c r="AK12" s="34">
        <f t="shared" si="5"/>
        <v>1.1415525114155251E-3</v>
      </c>
      <c r="AL12" s="34">
        <f t="shared" si="1"/>
        <v>0.99885844748858443</v>
      </c>
      <c r="AM12" s="94"/>
      <c r="AN12" s="94"/>
      <c r="AO12" s="94"/>
      <c r="AP12" s="27"/>
      <c r="AQ12" s="27"/>
      <c r="AR12" s="94">
        <f t="shared" si="6"/>
        <v>3.3996233184748861</v>
      </c>
      <c r="AS12" s="94">
        <f t="shared" si="7"/>
        <v>1.699811659237443</v>
      </c>
      <c r="AT12" s="27">
        <f t="shared" si="8"/>
        <v>2976.3702153247632</v>
      </c>
      <c r="AU12" s="27"/>
      <c r="AV12" s="27"/>
      <c r="AW12" s="94"/>
      <c r="AX12" s="94"/>
      <c r="AY12" s="27"/>
      <c r="AZ12" s="27"/>
      <c r="BA12" s="27"/>
      <c r="BB12" s="18"/>
      <c r="BF12" s="3"/>
      <c r="BI12" s="3"/>
      <c r="BL12" s="3"/>
      <c r="BO12" s="117"/>
      <c r="BS12" s="3"/>
      <c r="BV12" s="3"/>
      <c r="BY12" s="3"/>
      <c r="DV12" s="3"/>
      <c r="DX12" s="38"/>
      <c r="DY12" s="55"/>
      <c r="DZ12" s="38"/>
      <c r="EA12" s="38"/>
      <c r="EB12" s="121"/>
      <c r="EF12" s="3"/>
      <c r="EH12" s="38"/>
      <c r="EI12" s="55"/>
      <c r="EJ12" s="38"/>
      <c r="EK12" s="198"/>
      <c r="EO12" s="3"/>
      <c r="EQ12" s="38"/>
      <c r="ER12" s="55"/>
      <c r="ES12" s="38"/>
      <c r="ET12" s="198"/>
    </row>
    <row r="13" spans="1:151" x14ac:dyDescent="0.2">
      <c r="A13" s="3" t="s">
        <v>23</v>
      </c>
      <c r="B13">
        <v>1479</v>
      </c>
      <c r="C13">
        <v>8</v>
      </c>
      <c r="D13">
        <v>1.01</v>
      </c>
      <c r="F13" t="s">
        <v>28</v>
      </c>
      <c r="G13" t="s">
        <v>30</v>
      </c>
      <c r="H13" s="20"/>
      <c r="I13" s="21"/>
      <c r="J13">
        <v>8</v>
      </c>
      <c r="K13" s="94">
        <v>38.987000000000002</v>
      </c>
      <c r="L13">
        <v>1.01</v>
      </c>
      <c r="M13" s="38">
        <v>8.08</v>
      </c>
      <c r="N13" s="27"/>
      <c r="O13" s="27">
        <f t="shared" si="0"/>
        <v>315.01496000000003</v>
      </c>
      <c r="P13" s="27"/>
      <c r="Q13" s="27"/>
      <c r="R13" s="27"/>
      <c r="S13" s="27"/>
      <c r="T13" s="18"/>
      <c r="U13">
        <v>2.3999999999999998E-3</v>
      </c>
      <c r="V13">
        <v>0.99760000000000004</v>
      </c>
      <c r="W13" s="94"/>
      <c r="X13" s="94">
        <f t="shared" si="3"/>
        <v>0.75603590399999998</v>
      </c>
      <c r="Y13" s="94"/>
      <c r="Z13" s="94"/>
      <c r="AA13" s="94">
        <f t="shared" si="4"/>
        <v>314.25892409600004</v>
      </c>
      <c r="AB13" s="94"/>
      <c r="AI13" s="18"/>
      <c r="AJ13">
        <v>886</v>
      </c>
      <c r="AK13" s="34">
        <f t="shared" si="5"/>
        <v>0.10114155251141553</v>
      </c>
      <c r="AL13" s="34">
        <f t="shared" si="1"/>
        <v>0.89885844748858446</v>
      </c>
      <c r="AM13" s="94"/>
      <c r="AN13" s="94"/>
      <c r="AO13" s="94"/>
      <c r="AP13" s="27"/>
      <c r="AQ13" s="27"/>
      <c r="AR13" s="94">
        <f t="shared" si="6"/>
        <v>31.784635473636534</v>
      </c>
      <c r="AS13" s="94">
        <f t="shared" si="7"/>
        <v>15.892317736818267</v>
      </c>
      <c r="AT13" s="27">
        <f t="shared" si="8"/>
        <v>298.36660635918179</v>
      </c>
      <c r="AU13" s="27" t="s">
        <v>372</v>
      </c>
      <c r="AV13" s="27"/>
      <c r="AW13" s="94"/>
      <c r="AX13" s="94"/>
      <c r="AY13" s="27"/>
      <c r="AZ13" s="27"/>
      <c r="BA13" s="27"/>
      <c r="BB13" s="18"/>
      <c r="BF13" s="3"/>
      <c r="BI13" s="3"/>
      <c r="BL13" s="3"/>
      <c r="BO13" s="117"/>
      <c r="BS13" s="3"/>
      <c r="BV13" s="3"/>
      <c r="BY13" s="3"/>
      <c r="DV13" s="3"/>
      <c r="DX13" s="38"/>
      <c r="DY13" s="55"/>
      <c r="DZ13" s="38"/>
      <c r="EA13" s="38"/>
      <c r="EB13" s="121"/>
      <c r="EF13" s="3"/>
      <c r="EH13" s="38"/>
      <c r="EI13" s="55"/>
      <c r="EJ13" s="38"/>
      <c r="EK13" s="198"/>
      <c r="EO13" s="3"/>
      <c r="EQ13" s="38"/>
      <c r="ER13" s="55"/>
      <c r="ES13" s="38"/>
      <c r="ET13" s="198"/>
    </row>
    <row r="14" spans="1:151" x14ac:dyDescent="0.2">
      <c r="A14" s="3" t="s">
        <v>24</v>
      </c>
      <c r="B14">
        <v>1228</v>
      </c>
      <c r="C14">
        <v>41</v>
      </c>
      <c r="D14">
        <v>3.38</v>
      </c>
      <c r="E14">
        <v>0.32500000000000001</v>
      </c>
      <c r="F14" t="s">
        <v>29</v>
      </c>
      <c r="G14" t="s">
        <v>124</v>
      </c>
      <c r="H14" s="20"/>
      <c r="I14" s="21"/>
      <c r="J14">
        <v>399</v>
      </c>
      <c r="K14" s="94">
        <v>38.987000000000002</v>
      </c>
      <c r="L14">
        <v>0.33</v>
      </c>
      <c r="M14" s="38">
        <v>131.66999999999999</v>
      </c>
      <c r="N14" s="27"/>
      <c r="O14" s="27">
        <f t="shared" si="0"/>
        <v>5133.4182900000005</v>
      </c>
      <c r="P14" s="27"/>
      <c r="Q14" s="27"/>
      <c r="R14" s="27"/>
      <c r="S14" s="27"/>
      <c r="T14" s="18"/>
      <c r="U14">
        <v>2.3999999999999998E-3</v>
      </c>
      <c r="V14">
        <v>0.99760000000000004</v>
      </c>
      <c r="W14" s="94"/>
      <c r="X14" s="94">
        <f t="shared" si="3"/>
        <v>12.320203896000001</v>
      </c>
      <c r="Y14" s="94"/>
      <c r="Z14" s="94"/>
      <c r="AA14" s="94">
        <f t="shared" si="4"/>
        <v>5121.0980861040007</v>
      </c>
      <c r="AB14" s="94"/>
      <c r="AI14" s="18"/>
      <c r="AJ14">
        <v>167</v>
      </c>
      <c r="AK14" s="34">
        <f t="shared" si="5"/>
        <v>1.906392694063927E-2</v>
      </c>
      <c r="AL14" s="34">
        <f t="shared" si="1"/>
        <v>0.9809360730593607</v>
      </c>
      <c r="AM14" s="94"/>
      <c r="AN14" s="94"/>
      <c r="AO14" s="94"/>
      <c r="AP14" s="27"/>
      <c r="AQ14" s="27"/>
      <c r="AR14" s="94">
        <f t="shared" si="6"/>
        <v>97.628239769334257</v>
      </c>
      <c r="AS14" s="94">
        <f t="shared" si="7"/>
        <v>48.814119884667129</v>
      </c>
      <c r="AT14" s="27">
        <f t="shared" si="8"/>
        <v>5072.2839662193337</v>
      </c>
      <c r="AU14" s="27"/>
      <c r="AV14" s="27"/>
      <c r="AW14" s="94"/>
      <c r="AX14" s="94"/>
      <c r="AY14" s="27"/>
      <c r="AZ14" s="27"/>
      <c r="BA14" s="27"/>
      <c r="BB14" s="18"/>
      <c r="BF14" s="3"/>
      <c r="BI14" s="3"/>
      <c r="BL14" s="3"/>
      <c r="BO14" s="117"/>
      <c r="BS14" s="3"/>
      <c r="BV14" s="3"/>
      <c r="BY14" s="3"/>
      <c r="DV14" s="3"/>
      <c r="DX14" s="38"/>
      <c r="DY14" s="55"/>
      <c r="DZ14" s="38"/>
      <c r="EA14" s="38"/>
      <c r="EB14" s="121"/>
      <c r="EF14" s="3"/>
      <c r="EH14" s="38"/>
      <c r="EI14" s="55"/>
      <c r="EJ14" s="38"/>
      <c r="EK14" s="198"/>
      <c r="EO14" s="3"/>
      <c r="EQ14" s="38"/>
      <c r="ER14" s="55"/>
      <c r="ES14" s="38"/>
      <c r="ET14" s="198"/>
    </row>
    <row r="15" spans="1:151" x14ac:dyDescent="0.2">
      <c r="A15" s="3" t="s">
        <v>31</v>
      </c>
      <c r="B15">
        <v>1379</v>
      </c>
      <c r="C15">
        <v>6</v>
      </c>
      <c r="D15">
        <v>0.59</v>
      </c>
      <c r="F15" t="s">
        <v>32</v>
      </c>
      <c r="G15" t="s">
        <v>30</v>
      </c>
      <c r="H15" s="20"/>
      <c r="I15" s="21"/>
      <c r="J15">
        <v>6</v>
      </c>
      <c r="K15" s="94">
        <v>38.987000000000002</v>
      </c>
      <c r="L15">
        <v>0.59</v>
      </c>
      <c r="M15" s="38">
        <v>3.54</v>
      </c>
      <c r="N15" s="27"/>
      <c r="O15" s="27">
        <f t="shared" si="0"/>
        <v>138.01398</v>
      </c>
      <c r="P15" s="27"/>
      <c r="Q15" s="27"/>
      <c r="R15" s="27"/>
      <c r="S15" s="27"/>
      <c r="T15" s="18"/>
      <c r="U15">
        <v>2.3999999999999998E-3</v>
      </c>
      <c r="V15">
        <v>0.99760000000000004</v>
      </c>
      <c r="W15" s="94"/>
      <c r="X15" s="94">
        <f t="shared" si="3"/>
        <v>0.33123355199999999</v>
      </c>
      <c r="Y15" s="94"/>
      <c r="Z15" s="94"/>
      <c r="AA15" s="94">
        <f t="shared" si="4"/>
        <v>137.68274644800002</v>
      </c>
      <c r="AB15" s="94"/>
      <c r="AI15" s="18"/>
      <c r="AJ15">
        <v>1315</v>
      </c>
      <c r="AK15" s="34">
        <f t="shared" si="5"/>
        <v>0.15011415525114155</v>
      </c>
      <c r="AL15" s="34">
        <f t="shared" si="1"/>
        <v>0.84988584474885842</v>
      </c>
      <c r="AM15" s="94"/>
      <c r="AN15" s="94"/>
      <c r="AO15" s="94"/>
      <c r="AP15" s="27"/>
      <c r="AQ15" s="27"/>
      <c r="AR15" s="94">
        <f t="shared" si="6"/>
        <v>20.668129175698631</v>
      </c>
      <c r="AS15" s="94">
        <f t="shared" si="7"/>
        <v>10.334064587849316</v>
      </c>
      <c r="AT15" s="27">
        <f t="shared" si="8"/>
        <v>127.34868186015069</v>
      </c>
      <c r="AU15" s="27"/>
      <c r="AV15" s="27"/>
      <c r="AW15" s="94"/>
      <c r="AX15" s="94"/>
      <c r="AY15" s="27"/>
      <c r="AZ15" s="27"/>
      <c r="BA15" s="27"/>
      <c r="BB15" s="18"/>
      <c r="BF15" s="3"/>
      <c r="BI15" s="3"/>
      <c r="BL15" s="3"/>
      <c r="BO15" s="117"/>
      <c r="BS15" s="3"/>
      <c r="BV15" s="3"/>
      <c r="BY15" s="3"/>
      <c r="DV15" s="3"/>
      <c r="DX15" s="38"/>
      <c r="DY15" s="55"/>
      <c r="DZ15" s="38"/>
      <c r="EA15" s="38"/>
      <c r="EB15" s="121"/>
      <c r="EF15" s="3"/>
      <c r="EH15" s="38"/>
      <c r="EI15" s="55"/>
      <c r="EJ15" s="38"/>
      <c r="EK15" s="198"/>
      <c r="EO15" s="3"/>
      <c r="EQ15" s="38"/>
      <c r="ER15" s="55"/>
      <c r="ES15" s="38"/>
      <c r="ET15" s="198"/>
    </row>
    <row r="16" spans="1:151" x14ac:dyDescent="0.2">
      <c r="A16" s="3" t="s">
        <v>33</v>
      </c>
      <c r="B16">
        <v>1179</v>
      </c>
      <c r="C16">
        <v>10</v>
      </c>
      <c r="D16">
        <v>2.5</v>
      </c>
      <c r="E16">
        <v>0.625</v>
      </c>
      <c r="F16" t="s">
        <v>34</v>
      </c>
      <c r="G16" t="s">
        <v>11</v>
      </c>
      <c r="H16" s="20"/>
      <c r="I16" s="21"/>
      <c r="J16">
        <v>737</v>
      </c>
      <c r="K16" s="94">
        <v>38.987000000000002</v>
      </c>
      <c r="L16">
        <v>0.63</v>
      </c>
      <c r="M16" s="38">
        <v>464.31</v>
      </c>
      <c r="N16" s="27"/>
      <c r="O16" s="27">
        <f t="shared" si="0"/>
        <v>18102.053970000001</v>
      </c>
      <c r="P16" s="27"/>
      <c r="Q16" s="27"/>
      <c r="R16" s="27"/>
      <c r="S16" s="27"/>
      <c r="T16" s="18"/>
      <c r="U16">
        <v>2.3999999999999998E-3</v>
      </c>
      <c r="V16">
        <v>0.99760000000000004</v>
      </c>
      <c r="W16" s="94"/>
      <c r="X16" s="94">
        <f t="shared" si="3"/>
        <v>43.444929527999996</v>
      </c>
      <c r="Y16" s="94"/>
      <c r="Z16" s="94"/>
      <c r="AA16" s="94">
        <f t="shared" si="4"/>
        <v>18058.609040472002</v>
      </c>
      <c r="AB16" s="94"/>
      <c r="AI16" s="18"/>
      <c r="AJ16">
        <v>149</v>
      </c>
      <c r="AK16" s="34">
        <f t="shared" si="5"/>
        <v>1.7009132420091323E-2</v>
      </c>
      <c r="AL16" s="34">
        <f t="shared" si="1"/>
        <v>0.98299086757990872</v>
      </c>
      <c r="AM16" s="94"/>
      <c r="AN16" s="94"/>
      <c r="AO16" s="94"/>
      <c r="AP16" s="27"/>
      <c r="AQ16" s="27"/>
      <c r="AR16" s="94">
        <f t="shared" si="6"/>
        <v>307.16127249204658</v>
      </c>
      <c r="AS16" s="94">
        <f t="shared" si="7"/>
        <v>153.58063624602329</v>
      </c>
      <c r="AT16" s="27">
        <f t="shared" si="8"/>
        <v>17905.028404225981</v>
      </c>
      <c r="AU16" s="27"/>
      <c r="AV16" s="27"/>
      <c r="AW16" s="94"/>
      <c r="AX16" s="94"/>
      <c r="AY16" s="27"/>
      <c r="AZ16" s="27"/>
      <c r="BA16" s="27"/>
      <c r="BB16" s="18"/>
      <c r="BF16" s="3"/>
      <c r="BI16" s="3"/>
      <c r="BL16" s="3"/>
      <c r="BO16" s="117"/>
      <c r="BS16" s="3"/>
      <c r="BV16" s="3"/>
      <c r="BY16" s="3"/>
      <c r="DV16" s="3"/>
      <c r="DX16" s="38"/>
      <c r="DY16" s="55"/>
      <c r="DZ16" s="38"/>
      <c r="EA16" s="38"/>
      <c r="EB16" s="121"/>
      <c r="EF16" s="3"/>
      <c r="EH16" s="38"/>
      <c r="EI16" s="55"/>
      <c r="EJ16" s="38"/>
      <c r="EK16" s="198"/>
      <c r="EO16" s="3"/>
      <c r="EQ16" s="38"/>
      <c r="ER16" s="55"/>
      <c r="ES16" s="38"/>
      <c r="ET16" s="198"/>
    </row>
    <row r="17" spans="1:151" x14ac:dyDescent="0.2">
      <c r="A17" s="3" t="s">
        <v>35</v>
      </c>
      <c r="B17">
        <v>1252</v>
      </c>
      <c r="C17">
        <v>1250</v>
      </c>
      <c r="D17">
        <v>0.08</v>
      </c>
      <c r="F17" t="s">
        <v>36</v>
      </c>
      <c r="G17" t="s">
        <v>126</v>
      </c>
      <c r="H17" s="20"/>
      <c r="I17" s="21"/>
      <c r="J17">
        <v>100</v>
      </c>
      <c r="K17" s="94">
        <v>38.987000000000002</v>
      </c>
      <c r="L17">
        <v>0.08</v>
      </c>
      <c r="M17" s="38">
        <v>8</v>
      </c>
      <c r="N17" s="27"/>
      <c r="O17" s="27">
        <f t="shared" si="0"/>
        <v>311.89600000000002</v>
      </c>
      <c r="P17" s="27"/>
      <c r="Q17" s="27"/>
      <c r="R17" s="27"/>
      <c r="S17" s="27"/>
      <c r="T17" s="18"/>
      <c r="U17">
        <v>2.3999999999999998E-3</v>
      </c>
      <c r="V17">
        <v>0.99760000000000004</v>
      </c>
      <c r="W17" s="94"/>
      <c r="X17" s="94">
        <f t="shared" si="3"/>
        <v>0.74855039999999995</v>
      </c>
      <c r="Y17" s="94"/>
      <c r="Z17" s="94"/>
      <c r="AA17" s="94">
        <f t="shared" si="4"/>
        <v>311.14744960000002</v>
      </c>
      <c r="AB17" s="94"/>
      <c r="AI17" s="18"/>
      <c r="AJ17">
        <v>1181</v>
      </c>
      <c r="AK17" s="34">
        <f t="shared" si="5"/>
        <v>0.13481735159817351</v>
      </c>
      <c r="AL17" s="34">
        <f t="shared" si="1"/>
        <v>0.86518264840182646</v>
      </c>
      <c r="AM17" s="94"/>
      <c r="AN17" s="94"/>
      <c r="AO17" s="94"/>
      <c r="AP17" s="27"/>
      <c r="AQ17" s="27"/>
      <c r="AR17" s="94">
        <f t="shared" si="6"/>
        <v>41.948075111598172</v>
      </c>
      <c r="AS17" s="94">
        <f t="shared" si="7"/>
        <v>20.974037555799086</v>
      </c>
      <c r="AT17" s="27">
        <f t="shared" si="8"/>
        <v>290.17341204420092</v>
      </c>
      <c r="AU17" s="27"/>
      <c r="AV17" s="27"/>
      <c r="AW17" s="94"/>
      <c r="AX17" s="94"/>
      <c r="AY17" s="27"/>
      <c r="AZ17" s="27"/>
      <c r="BA17" s="27"/>
      <c r="BB17" s="18"/>
      <c r="BF17" s="3"/>
      <c r="BI17" s="3"/>
      <c r="BL17" s="3"/>
      <c r="BO17" s="117"/>
      <c r="BS17" s="3"/>
      <c r="BV17" s="3"/>
      <c r="BY17" s="3"/>
      <c r="DV17" s="3"/>
      <c r="DX17" s="38"/>
      <c r="DY17" s="55"/>
      <c r="DZ17" s="38"/>
      <c r="EA17" s="38"/>
      <c r="EB17" s="121"/>
      <c r="EF17" s="3"/>
      <c r="EH17" s="38"/>
      <c r="EI17" s="55"/>
      <c r="EJ17" s="38"/>
      <c r="EK17" s="198"/>
      <c r="EO17" s="3"/>
      <c r="EQ17" s="38"/>
      <c r="ER17" s="55"/>
      <c r="ES17" s="38"/>
      <c r="ET17" s="198"/>
    </row>
    <row r="18" spans="1:151" x14ac:dyDescent="0.2">
      <c r="A18" s="3" t="s">
        <v>37</v>
      </c>
      <c r="B18">
        <v>1186.5</v>
      </c>
      <c r="C18">
        <v>901</v>
      </c>
      <c r="D18">
        <v>0.69</v>
      </c>
      <c r="E18">
        <v>0.16500000000000001</v>
      </c>
      <c r="F18" t="s">
        <v>38</v>
      </c>
      <c r="G18" t="s">
        <v>16</v>
      </c>
      <c r="H18" s="20"/>
      <c r="I18" s="21"/>
      <c r="J18">
        <v>819</v>
      </c>
      <c r="K18" s="94">
        <v>38.987000000000002</v>
      </c>
      <c r="L18">
        <v>0.17</v>
      </c>
      <c r="M18" s="38">
        <v>139.22999999999999</v>
      </c>
      <c r="N18" s="27"/>
      <c r="O18" s="27">
        <f t="shared" si="0"/>
        <v>5428.1600100000005</v>
      </c>
      <c r="P18" s="27"/>
      <c r="Q18" s="27"/>
      <c r="R18" s="27"/>
      <c r="S18" s="27"/>
      <c r="T18" s="18"/>
      <c r="U18">
        <v>2.3999999999999998E-3</v>
      </c>
      <c r="V18">
        <v>0.99760000000000004</v>
      </c>
      <c r="W18" s="94"/>
      <c r="X18" s="94">
        <f t="shared" si="3"/>
        <v>13.027584023999999</v>
      </c>
      <c r="Y18" s="94"/>
      <c r="Z18" s="94"/>
      <c r="AA18" s="94">
        <f t="shared" si="4"/>
        <v>5415.1324259760004</v>
      </c>
      <c r="AB18" s="94"/>
      <c r="AI18" s="18"/>
      <c r="AJ18">
        <v>171</v>
      </c>
      <c r="AK18" s="34">
        <f t="shared" si="5"/>
        <v>1.9520547945205479E-2</v>
      </c>
      <c r="AL18" s="34">
        <f t="shared" si="1"/>
        <v>0.98047945205479448</v>
      </c>
      <c r="AM18" s="94"/>
      <c r="AN18" s="94"/>
      <c r="AO18" s="94"/>
      <c r="AP18" s="27"/>
      <c r="AQ18" s="27"/>
      <c r="AR18" s="94">
        <f t="shared" si="6"/>
        <v>105.70635215090138</v>
      </c>
      <c r="AS18" s="94">
        <f t="shared" si="7"/>
        <v>52.853176075450691</v>
      </c>
      <c r="AT18" s="27">
        <f t="shared" si="8"/>
        <v>5362.2792499005491</v>
      </c>
      <c r="AU18" s="27"/>
      <c r="AV18" s="27"/>
      <c r="AW18" s="94"/>
      <c r="AX18" s="94"/>
      <c r="AY18" s="27"/>
      <c r="AZ18" s="27"/>
      <c r="BA18" s="27"/>
      <c r="BB18" s="18"/>
      <c r="BF18" s="3"/>
      <c r="BI18" s="3"/>
      <c r="BL18" s="3"/>
      <c r="BO18" s="117"/>
      <c r="BS18" s="3"/>
      <c r="BV18" s="3"/>
      <c r="BY18" s="3"/>
      <c r="DV18" s="3"/>
      <c r="DX18" s="38"/>
      <c r="DY18" s="55"/>
      <c r="DZ18" s="38"/>
      <c r="EA18" s="38"/>
      <c r="EB18" s="121"/>
      <c r="EF18" s="3"/>
      <c r="EH18" s="38"/>
      <c r="EI18" s="55"/>
      <c r="EJ18" s="38"/>
      <c r="EK18" s="198"/>
      <c r="EO18" s="3"/>
      <c r="EQ18" s="38"/>
      <c r="ER18" s="55"/>
      <c r="ES18" s="38"/>
      <c r="ET18" s="198"/>
    </row>
    <row r="19" spans="1:151" x14ac:dyDescent="0.2">
      <c r="A19" s="3" t="s">
        <v>39</v>
      </c>
      <c r="B19">
        <v>1747</v>
      </c>
      <c r="C19">
        <v>901</v>
      </c>
      <c r="D19">
        <v>0.41</v>
      </c>
      <c r="F19" t="s">
        <v>40</v>
      </c>
      <c r="G19" t="s">
        <v>126</v>
      </c>
      <c r="H19" s="20"/>
      <c r="I19" s="21"/>
      <c r="J19">
        <v>716</v>
      </c>
      <c r="K19" s="94">
        <v>38.987000000000002</v>
      </c>
      <c r="L19">
        <v>0.41</v>
      </c>
      <c r="M19" s="38">
        <v>293.56</v>
      </c>
      <c r="N19" s="27"/>
      <c r="O19" s="27">
        <f t="shared" si="0"/>
        <v>11445.023720000001</v>
      </c>
      <c r="P19" s="27"/>
      <c r="Q19" s="27"/>
      <c r="R19" s="27"/>
      <c r="S19" s="27"/>
      <c r="T19" s="18"/>
      <c r="U19">
        <v>2.3999999999999998E-3</v>
      </c>
      <c r="V19">
        <v>0.99760000000000004</v>
      </c>
      <c r="W19" s="94"/>
      <c r="X19" s="94">
        <f t="shared" si="3"/>
        <v>27.468056927999999</v>
      </c>
      <c r="Y19" s="94"/>
      <c r="Z19" s="94"/>
      <c r="AA19" s="94">
        <f t="shared" si="4"/>
        <v>11417.555663072002</v>
      </c>
      <c r="AB19" s="94"/>
      <c r="AI19" s="18"/>
      <c r="AJ19">
        <v>14</v>
      </c>
      <c r="AK19" s="34">
        <f t="shared" si="5"/>
        <v>1.5981735159817352E-3</v>
      </c>
      <c r="AL19" s="34">
        <f t="shared" si="1"/>
        <v>0.99840182648401832</v>
      </c>
      <c r="AM19" s="94"/>
      <c r="AN19" s="94"/>
      <c r="AO19" s="94"/>
      <c r="AP19" s="27"/>
      <c r="AQ19" s="27"/>
      <c r="AR19" s="94">
        <f t="shared" si="6"/>
        <v>18.247235077968956</v>
      </c>
      <c r="AS19" s="94">
        <f t="shared" si="7"/>
        <v>9.1236175389844778</v>
      </c>
      <c r="AT19" s="27">
        <f t="shared" si="8"/>
        <v>11408.432045533018</v>
      </c>
      <c r="AU19" s="27"/>
      <c r="AV19" s="27"/>
      <c r="AW19" s="94"/>
      <c r="AX19" s="94"/>
      <c r="AY19" s="27"/>
      <c r="AZ19" s="27"/>
      <c r="BA19" s="27"/>
      <c r="BB19" s="18"/>
      <c r="BF19" s="3"/>
      <c r="BI19" s="3"/>
      <c r="BL19" s="3"/>
      <c r="BO19" s="117"/>
      <c r="BS19" s="3"/>
      <c r="BV19" s="3"/>
      <c r="BY19" s="3"/>
      <c r="DV19" s="3"/>
      <c r="DX19" s="38"/>
      <c r="DY19" s="55"/>
      <c r="DZ19" s="38"/>
      <c r="EA19" s="38"/>
      <c r="EB19" s="121"/>
      <c r="EF19" s="3"/>
      <c r="EH19" s="38"/>
      <c r="EI19" s="55"/>
      <c r="EJ19" s="38"/>
      <c r="EK19" s="198"/>
      <c r="EO19" s="3"/>
      <c r="EQ19" s="38"/>
      <c r="ER19" s="55"/>
      <c r="ES19" s="38"/>
      <c r="ET19" s="198"/>
    </row>
    <row r="20" spans="1:151" x14ac:dyDescent="0.2">
      <c r="A20" s="3" t="s">
        <v>41</v>
      </c>
      <c r="B20">
        <v>1179</v>
      </c>
      <c r="C20">
        <v>10</v>
      </c>
      <c r="D20">
        <v>0.34</v>
      </c>
      <c r="E20">
        <v>0.25</v>
      </c>
      <c r="F20" t="s">
        <v>42</v>
      </c>
      <c r="G20" t="s">
        <v>11</v>
      </c>
      <c r="H20" s="20"/>
      <c r="I20" s="21"/>
      <c r="J20">
        <v>295</v>
      </c>
      <c r="K20" s="94">
        <v>38.987000000000002</v>
      </c>
      <c r="L20">
        <v>0.25</v>
      </c>
      <c r="M20" s="38">
        <v>73.75</v>
      </c>
      <c r="N20" s="27"/>
      <c r="O20" s="27">
        <f t="shared" si="0"/>
        <v>2875.2912500000002</v>
      </c>
      <c r="P20" s="27"/>
      <c r="Q20" s="27"/>
      <c r="R20" s="27"/>
      <c r="S20" s="27"/>
      <c r="T20" s="18"/>
      <c r="U20">
        <v>2.3999999999999998E-3</v>
      </c>
      <c r="V20">
        <v>0.99760000000000004</v>
      </c>
      <c r="W20" s="94"/>
      <c r="X20" s="94">
        <f t="shared" si="3"/>
        <v>6.9006990000000004</v>
      </c>
      <c r="Y20" s="94"/>
      <c r="Z20" s="94"/>
      <c r="AA20" s="94">
        <f t="shared" si="4"/>
        <v>2868.3905510000004</v>
      </c>
      <c r="AB20" s="94"/>
      <c r="AI20" s="18"/>
      <c r="AJ20">
        <v>39</v>
      </c>
      <c r="AK20" s="34">
        <f t="shared" si="5"/>
        <v>4.4520547945205479E-3</v>
      </c>
      <c r="AL20" s="34">
        <f t="shared" si="1"/>
        <v>0.9955479452054794</v>
      </c>
      <c r="AM20" s="94"/>
      <c r="AN20" s="94"/>
      <c r="AO20" s="94"/>
      <c r="AP20" s="27"/>
      <c r="AQ20" s="27"/>
      <c r="AR20" s="94">
        <f t="shared" si="6"/>
        <v>12.770231905136988</v>
      </c>
      <c r="AS20" s="94">
        <f t="shared" si="7"/>
        <v>6.3851159525684942</v>
      </c>
      <c r="AT20" s="27">
        <f t="shared" si="8"/>
        <v>2862.0054350474315</v>
      </c>
      <c r="AU20" s="27"/>
      <c r="AV20" s="27"/>
      <c r="AW20" s="94"/>
      <c r="AX20" s="94"/>
      <c r="AY20" s="27"/>
      <c r="AZ20" s="27"/>
      <c r="BA20" s="27"/>
      <c r="BB20" s="18"/>
      <c r="BF20" s="3"/>
      <c r="BI20" s="3"/>
      <c r="BL20" s="3"/>
      <c r="BO20" s="117"/>
      <c r="BP20" t="s">
        <v>270</v>
      </c>
      <c r="BS20" s="3"/>
      <c r="BV20" s="3"/>
      <c r="BY20" s="3"/>
      <c r="DV20" s="3"/>
      <c r="DX20" s="38"/>
      <c r="DY20" s="55"/>
      <c r="DZ20" s="38"/>
      <c r="EA20" s="38"/>
      <c r="EB20" s="121"/>
      <c r="EF20" s="3"/>
      <c r="EH20" s="38"/>
      <c r="EI20" s="55"/>
      <c r="EJ20" s="38"/>
      <c r="EK20" s="198"/>
      <c r="EO20" s="3"/>
      <c r="EQ20" s="38"/>
      <c r="ER20" s="55"/>
      <c r="ES20" s="38"/>
      <c r="ET20" s="198"/>
    </row>
    <row r="21" spans="1:151" x14ac:dyDescent="0.2">
      <c r="A21" s="3" t="s">
        <v>43</v>
      </c>
      <c r="B21">
        <v>1760</v>
      </c>
      <c r="C21">
        <v>7</v>
      </c>
      <c r="D21">
        <v>0.78</v>
      </c>
      <c r="F21" t="s">
        <v>44</v>
      </c>
      <c r="G21" t="s">
        <v>30</v>
      </c>
      <c r="H21" s="20"/>
      <c r="I21" s="21"/>
      <c r="J21">
        <v>7</v>
      </c>
      <c r="K21" s="94">
        <v>38.987000000000002</v>
      </c>
      <c r="L21">
        <v>0.78</v>
      </c>
      <c r="M21" s="38">
        <v>5.46</v>
      </c>
      <c r="N21" s="27"/>
      <c r="O21" s="27">
        <f t="shared" si="0"/>
        <v>212.86902000000001</v>
      </c>
      <c r="P21" s="27"/>
      <c r="Q21" s="27"/>
      <c r="R21" s="27"/>
      <c r="S21" s="27"/>
      <c r="T21" s="18"/>
      <c r="U21">
        <v>2.3999999999999998E-3</v>
      </c>
      <c r="V21">
        <v>0.99760000000000004</v>
      </c>
      <c r="W21" s="94"/>
      <c r="X21" s="94">
        <f t="shared" si="3"/>
        <v>0.51088564799999991</v>
      </c>
      <c r="Y21" s="94"/>
      <c r="Z21" s="94"/>
      <c r="AA21" s="94">
        <f t="shared" si="4"/>
        <v>212.35813435200001</v>
      </c>
      <c r="AB21" s="94"/>
      <c r="AI21" s="18"/>
      <c r="AJ21">
        <v>2027</v>
      </c>
      <c r="AK21" s="34">
        <f t="shared" si="5"/>
        <v>0.23139269406392693</v>
      </c>
      <c r="AL21" s="34">
        <f t="shared" si="1"/>
        <v>0.76860730593607307</v>
      </c>
      <c r="AM21" s="94"/>
      <c r="AN21" s="94"/>
      <c r="AO21" s="94"/>
      <c r="AP21" s="27"/>
      <c r="AQ21" s="27"/>
      <c r="AR21" s="94">
        <f t="shared" si="6"/>
        <v>49.138120814098627</v>
      </c>
      <c r="AS21" s="94">
        <f t="shared" si="7"/>
        <v>24.569060407049314</v>
      </c>
      <c r="AT21" s="27">
        <f t="shared" si="8"/>
        <v>187.78907394495067</v>
      </c>
      <c r="AU21" s="27"/>
      <c r="AV21" s="27"/>
      <c r="AW21" s="94"/>
      <c r="AX21" s="94"/>
      <c r="AY21" s="27"/>
      <c r="AZ21" s="27"/>
      <c r="BA21" s="27"/>
      <c r="BB21" s="18"/>
      <c r="BF21" s="3"/>
      <c r="BI21" s="3"/>
      <c r="BL21" s="3"/>
      <c r="BO21" s="117"/>
      <c r="BS21" s="3"/>
      <c r="BV21" s="3"/>
      <c r="BY21" s="3"/>
      <c r="DV21" s="3"/>
      <c r="DX21" s="38"/>
      <c r="DY21" s="55"/>
      <c r="DZ21" s="38"/>
      <c r="EA21" s="38"/>
      <c r="EB21" s="121"/>
      <c r="EF21" s="3"/>
      <c r="EH21" s="38"/>
      <c r="EI21" s="55"/>
      <c r="EJ21" s="38"/>
      <c r="EK21" s="198"/>
      <c r="EO21" s="3"/>
      <c r="EQ21" s="38"/>
      <c r="ER21" s="55"/>
      <c r="ES21" s="38"/>
      <c r="ET21" s="198"/>
    </row>
    <row r="22" spans="1:151" x14ac:dyDescent="0.2">
      <c r="A22" s="3" t="s">
        <v>45</v>
      </c>
      <c r="B22">
        <v>1760</v>
      </c>
      <c r="C22">
        <v>7</v>
      </c>
      <c r="D22">
        <v>14.26</v>
      </c>
      <c r="F22" t="s">
        <v>44</v>
      </c>
      <c r="G22" t="s">
        <v>30</v>
      </c>
      <c r="H22" s="20"/>
      <c r="I22" s="21"/>
      <c r="J22">
        <v>7</v>
      </c>
      <c r="K22" s="94">
        <v>38.987000000000002</v>
      </c>
      <c r="L22">
        <v>14.26</v>
      </c>
      <c r="M22" s="38">
        <v>99.82</v>
      </c>
      <c r="N22" s="27"/>
      <c r="O22" s="27">
        <f t="shared" si="0"/>
        <v>3891.6823399999998</v>
      </c>
      <c r="P22" s="27"/>
      <c r="Q22" s="27"/>
      <c r="R22" s="27"/>
      <c r="S22" s="27"/>
      <c r="T22" s="18"/>
      <c r="U22">
        <v>2.3999999999999998E-3</v>
      </c>
      <c r="V22">
        <v>0.99760000000000004</v>
      </c>
      <c r="W22" s="94"/>
      <c r="X22" s="94">
        <f t="shared" si="3"/>
        <v>9.3400376159999983</v>
      </c>
      <c r="Y22" s="94"/>
      <c r="Z22" s="94"/>
      <c r="AA22" s="94">
        <f t="shared" si="4"/>
        <v>3882.342302384</v>
      </c>
      <c r="AB22" s="94"/>
      <c r="AI22" s="18"/>
      <c r="AJ22">
        <v>1086</v>
      </c>
      <c r="AK22" s="34">
        <f>$AJ22/8760</f>
        <v>0.12397260273972603</v>
      </c>
      <c r="AL22" s="34">
        <f t="shared" si="1"/>
        <v>0.87602739726027401</v>
      </c>
      <c r="AM22" s="94"/>
      <c r="AN22" s="94"/>
      <c r="AO22" s="94"/>
      <c r="AP22" s="27"/>
      <c r="AQ22" s="27"/>
      <c r="AR22" s="94">
        <f t="shared" si="6"/>
        <v>481.30407995308497</v>
      </c>
      <c r="AS22" s="94">
        <f t="shared" si="7"/>
        <v>240.65203997654248</v>
      </c>
      <c r="AT22" s="27">
        <f t="shared" si="8"/>
        <v>3641.6902624074573</v>
      </c>
      <c r="AU22" s="27"/>
      <c r="AV22" s="27"/>
      <c r="AW22" s="94"/>
      <c r="AX22" s="94"/>
      <c r="AY22" s="27"/>
      <c r="AZ22" s="27"/>
      <c r="BA22" s="27"/>
      <c r="BB22" s="18"/>
      <c r="BF22" s="3"/>
      <c r="BI22" s="3"/>
      <c r="BL22" s="3"/>
      <c r="BO22" s="117"/>
      <c r="BS22" s="3"/>
      <c r="BV22" s="3"/>
      <c r="BY22" s="3"/>
      <c r="DV22" s="3"/>
      <c r="DX22" s="38"/>
      <c r="DY22" s="55"/>
      <c r="DZ22" s="38"/>
      <c r="EA22" s="38"/>
      <c r="EB22" s="121"/>
      <c r="EF22" s="3"/>
      <c r="EH22" s="38"/>
      <c r="EI22" s="55"/>
      <c r="EJ22" s="38"/>
      <c r="EK22" s="198"/>
      <c r="EO22" s="3"/>
      <c r="EQ22" s="38"/>
      <c r="ER22" s="55"/>
      <c r="ES22" s="38"/>
      <c r="ET22" s="198"/>
    </row>
    <row r="23" spans="1:151" x14ac:dyDescent="0.2">
      <c r="A23" s="3"/>
      <c r="E23" s="251"/>
      <c r="H23" s="20"/>
      <c r="I23" s="21"/>
      <c r="M23" s="266"/>
      <c r="T23" s="18"/>
      <c r="AI23" s="18"/>
      <c r="BB23" s="18"/>
      <c r="BF23" s="3"/>
      <c r="BI23" s="3"/>
      <c r="BL23" s="3"/>
      <c r="BO23" s="117"/>
      <c r="BS23" s="3"/>
      <c r="BV23" s="3"/>
      <c r="BY23" s="3"/>
      <c r="DV23" s="3"/>
      <c r="DX23" s="38"/>
      <c r="DY23" s="55"/>
      <c r="DZ23" s="38"/>
      <c r="EA23" s="38"/>
      <c r="EB23" s="121"/>
      <c r="EF23" s="3"/>
      <c r="EH23" s="38"/>
      <c r="EI23" s="55"/>
      <c r="EJ23" s="38"/>
      <c r="EK23" s="198"/>
      <c r="EO23" s="3"/>
      <c r="EQ23" s="38"/>
      <c r="ER23" s="55"/>
      <c r="ES23" s="38"/>
      <c r="ET23" s="198"/>
    </row>
    <row r="24" spans="1:151" ht="19" x14ac:dyDescent="0.25">
      <c r="A24" s="24" t="s">
        <v>412</v>
      </c>
      <c r="B24" s="11"/>
      <c r="C24" s="11"/>
      <c r="D24" s="11"/>
      <c r="E24" s="11"/>
      <c r="F24" s="11"/>
      <c r="G24" s="11"/>
      <c r="H24" s="20"/>
      <c r="I24" s="21"/>
      <c r="J24" s="25"/>
      <c r="K24" s="136"/>
      <c r="L24" s="11"/>
      <c r="M24" s="245"/>
      <c r="N24" s="11"/>
      <c r="O24" s="11"/>
      <c r="P24" s="11"/>
      <c r="Q24" s="11"/>
      <c r="R24" s="11"/>
      <c r="S24" s="11"/>
      <c r="T24" s="18"/>
      <c r="AI24" s="18"/>
      <c r="AJ24" s="11"/>
      <c r="AK24" s="11"/>
      <c r="AL24" s="11"/>
      <c r="AM24" s="11"/>
      <c r="AN24" s="11"/>
      <c r="AO24" s="11"/>
      <c r="AP24" s="11"/>
      <c r="AQ24" s="11"/>
      <c r="AR24" s="11"/>
      <c r="AS24" s="11"/>
      <c r="AT24" s="11"/>
      <c r="AU24" s="11"/>
      <c r="AV24" s="11"/>
      <c r="AW24" s="11"/>
      <c r="AX24" s="11"/>
      <c r="AY24" s="11"/>
      <c r="AZ24" s="11"/>
      <c r="BA24" s="11"/>
      <c r="BB24" s="18"/>
      <c r="BC24" s="11"/>
      <c r="BD24" s="11"/>
      <c r="BE24" s="11"/>
      <c r="BF24" s="48"/>
      <c r="BG24" s="11"/>
      <c r="BH24" s="11"/>
      <c r="BI24" s="48"/>
      <c r="BJ24" s="11"/>
      <c r="BK24" s="11"/>
      <c r="BL24" s="48"/>
      <c r="BM24" s="11"/>
      <c r="BN24" s="11"/>
      <c r="BO24" s="117"/>
      <c r="BP24" s="48"/>
      <c r="BQ24" s="11"/>
      <c r="BR24" s="11"/>
      <c r="BS24" s="48"/>
      <c r="BT24" s="11"/>
      <c r="BU24" s="11"/>
      <c r="BV24" s="48"/>
      <c r="BW24" s="11"/>
      <c r="BX24" s="11"/>
      <c r="BY24" s="48"/>
      <c r="BZ24" s="11"/>
      <c r="CA24" s="11"/>
      <c r="CC24" s="48"/>
      <c r="CD24" s="125"/>
      <c r="CE24" s="139"/>
      <c r="CF24" s="139"/>
      <c r="CG24" s="139"/>
      <c r="CH24" s="139"/>
      <c r="CI24" s="139"/>
      <c r="CJ24" s="174"/>
      <c r="CK24" s="139"/>
      <c r="CL24" s="139"/>
      <c r="CM24" s="139"/>
      <c r="CN24" s="139"/>
      <c r="CO24" s="139"/>
      <c r="CP24" s="174"/>
      <c r="CQ24" s="139"/>
      <c r="CR24" s="139"/>
      <c r="CS24" s="139"/>
      <c r="CT24" s="139"/>
      <c r="CU24" s="139"/>
      <c r="CV24" s="139"/>
      <c r="CX24" s="139"/>
      <c r="CY24" s="139"/>
      <c r="CZ24" s="139"/>
      <c r="DA24" s="139"/>
      <c r="DB24" s="139"/>
      <c r="DC24" s="139"/>
      <c r="DD24" s="139"/>
      <c r="DE24" s="139"/>
      <c r="DF24" s="139"/>
      <c r="DG24" s="139"/>
      <c r="DH24" s="139"/>
      <c r="DI24" s="139"/>
      <c r="DJ24" s="139"/>
      <c r="DK24" s="139"/>
      <c r="DL24" s="139"/>
      <c r="DM24" s="139"/>
      <c r="DN24" s="139"/>
      <c r="DO24" s="139"/>
      <c r="DP24" s="139"/>
      <c r="DQ24" s="139"/>
      <c r="DS24" s="11"/>
      <c r="DT24" s="11"/>
      <c r="DU24" s="39"/>
      <c r="DV24" s="48"/>
      <c r="DW24" s="11"/>
      <c r="DX24" s="39"/>
      <c r="DY24" s="56"/>
      <c r="DZ24" s="39"/>
      <c r="EA24" s="39"/>
      <c r="EB24" s="121"/>
      <c r="EC24" s="11"/>
      <c r="ED24" s="11"/>
      <c r="EE24" s="39"/>
      <c r="EF24" s="48"/>
      <c r="EG24" s="11"/>
      <c r="EH24" s="39"/>
      <c r="EI24" s="56"/>
      <c r="EJ24" s="39"/>
      <c r="EK24" s="194"/>
      <c r="EL24" s="11"/>
      <c r="EM24" s="11"/>
      <c r="EN24" s="39"/>
      <c r="EO24" s="48"/>
      <c r="EP24" s="11"/>
      <c r="EQ24" s="39"/>
      <c r="ER24" s="56"/>
      <c r="ES24" s="39"/>
      <c r="ET24" s="194"/>
    </row>
    <row r="25" spans="1:151" x14ac:dyDescent="0.2">
      <c r="A25" s="3" t="s">
        <v>93</v>
      </c>
      <c r="B25">
        <v>1362</v>
      </c>
      <c r="C25">
        <v>101</v>
      </c>
      <c r="D25">
        <v>14.28</v>
      </c>
      <c r="E25">
        <v>0.57999999999999996</v>
      </c>
      <c r="F25" s="2">
        <f t="shared" ref="F25:F36" si="9">B25*E25</f>
        <v>789.95999999999992</v>
      </c>
      <c r="G25" t="s">
        <v>11</v>
      </c>
      <c r="H25" s="20"/>
      <c r="I25" s="21"/>
      <c r="J25">
        <v>790</v>
      </c>
      <c r="K25" s="94">
        <v>38.987000000000002</v>
      </c>
      <c r="L25">
        <v>14.28</v>
      </c>
      <c r="M25" s="38">
        <v>11281.2</v>
      </c>
      <c r="N25" s="27"/>
      <c r="O25" s="27">
        <f t="shared" ref="O25:O50" si="10">J25*K25*L25</f>
        <v>439820.14440000005</v>
      </c>
      <c r="P25" s="27"/>
      <c r="Q25" s="27"/>
      <c r="R25" s="27">
        <f>O25+O26+O27+O28+O29+O30+O31+O32+O33+O34+O35+O36+O37+O38+O39+O40+O41+O42+O43+O44+O45+O46+O47+O48+O49+O50</f>
        <v>1743889.2897400002</v>
      </c>
      <c r="S25" s="27"/>
      <c r="T25" s="18"/>
      <c r="U25">
        <v>2.3999999999999998E-3</v>
      </c>
      <c r="V25">
        <v>0.99760000000000004</v>
      </c>
      <c r="W25" s="94"/>
      <c r="X25" s="94">
        <f t="shared" ref="X25:X50" si="11" xml:space="preserve"> O25 * U25</f>
        <v>1055.56834656</v>
      </c>
      <c r="Y25" s="94"/>
      <c r="Z25" s="94"/>
      <c r="AA25" s="94">
        <f t="shared" ref="AA25:AA50" si="12" xml:space="preserve"> O25 * V25</f>
        <v>438764.57605344005</v>
      </c>
      <c r="AB25" s="94"/>
      <c r="AC25" s="27"/>
      <c r="AD25" s="27">
        <f xml:space="preserve"> R25 * U25</f>
        <v>4185.3342953760002</v>
      </c>
      <c r="AE25" s="27"/>
      <c r="AF25" s="27"/>
      <c r="AG25" s="27">
        <f xml:space="preserve"> R25 * V25</f>
        <v>1739703.9554446242</v>
      </c>
      <c r="AH25" s="27"/>
      <c r="AI25" s="18"/>
      <c r="AJ25">
        <v>426</v>
      </c>
      <c r="AK25" s="34">
        <f>$AJ25/8760</f>
        <v>4.8630136986301371E-2</v>
      </c>
      <c r="AL25" s="34">
        <f t="shared" ref="AL25:AL50" si="13">1- AK25</f>
        <v>0.95136986301369864</v>
      </c>
      <c r="AM25" s="94"/>
      <c r="AN25" s="94"/>
      <c r="AO25" s="94"/>
      <c r="AP25" s="27"/>
      <c r="AQ25" s="27"/>
      <c r="AR25" s="94">
        <f t="shared" ref="AR25:AR50" si="14">$AK25*$AA25</f>
        <v>21337.181438215237</v>
      </c>
      <c r="AS25" s="94">
        <f t="shared" ref="AS25:AS50" si="15" xml:space="preserve"> AR25 / 2</f>
        <v>10668.590719107618</v>
      </c>
      <c r="AT25" s="27">
        <f>$AL25*$AA25 + AS25</f>
        <v>428095.98533433239</v>
      </c>
      <c r="AU25" s="27">
        <f>SUM(AS25:AS50)</f>
        <v>18667.639503677037</v>
      </c>
      <c r="AV25" s="27">
        <f>SUM(AT25:AT50)</f>
        <v>1721036.3159409473</v>
      </c>
      <c r="AW25" s="94"/>
      <c r="AX25" s="94"/>
      <c r="AY25" s="27"/>
      <c r="AZ25" s="27"/>
      <c r="BA25" s="27"/>
      <c r="BB25" s="18"/>
      <c r="BC25" s="34">
        <v>0.1152</v>
      </c>
      <c r="BD25" s="34">
        <v>5.4199999999999998E-2</v>
      </c>
      <c r="BE25">
        <v>2.3E-2</v>
      </c>
      <c r="BF25" s="47"/>
      <c r="BG25" s="27"/>
      <c r="BH25" s="27"/>
      <c r="BI25" s="47">
        <f>$AV25*$BC25</f>
        <v>198263.38359639712</v>
      </c>
      <c r="BJ25" s="27">
        <f>$AV25*$BD25</f>
        <v>93280.168323999344</v>
      </c>
      <c r="BK25" s="27">
        <f>$AV25*$BE25</f>
        <v>39583.835266641785</v>
      </c>
      <c r="BL25" s="47"/>
      <c r="BM25" s="27"/>
      <c r="BN25" s="27"/>
      <c r="BO25" s="117"/>
      <c r="BP25" s="34">
        <f xml:space="preserve"> 1 - BC25</f>
        <v>0.88480000000000003</v>
      </c>
      <c r="BQ25" s="34">
        <f xml:space="preserve"> 1 - BD25</f>
        <v>0.94579999999999997</v>
      </c>
      <c r="BR25">
        <f xml:space="preserve"> 1 - BE25</f>
        <v>0.97699999999999998</v>
      </c>
      <c r="BS25" s="47"/>
      <c r="BT25" s="27"/>
      <c r="BU25" s="27"/>
      <c r="BV25" s="47">
        <f xml:space="preserve"> AV25 * BP25</f>
        <v>1522772.9323445503</v>
      </c>
      <c r="BW25" s="27">
        <f xml:space="preserve"> AV25 * BQ25</f>
        <v>1627756.147616948</v>
      </c>
      <c r="BX25" s="27">
        <f xml:space="preserve"> AV25 * BR25</f>
        <v>1681452.4806743055</v>
      </c>
      <c r="BY25" s="47"/>
      <c r="BZ25" s="27"/>
      <c r="CA25" s="27"/>
      <c r="CC25">
        <f xml:space="preserve"> 1 - 0.32</f>
        <v>0.67999999999999994</v>
      </c>
      <c r="CD25">
        <f>1-0.68</f>
        <v>0.31999999999999995</v>
      </c>
      <c r="CK25" s="27">
        <f xml:space="preserve"> BV25 * CC25</f>
        <v>1035485.5939942941</v>
      </c>
      <c r="CL25" s="27">
        <f xml:space="preserve"> BV25 * CD25</f>
        <v>487287.33835025603</v>
      </c>
      <c r="CM25" s="27">
        <f xml:space="preserve"> BW25 * CC25</f>
        <v>1106874.1803795246</v>
      </c>
      <c r="CN25" s="27">
        <f xml:space="preserve"> BW25 * CD25</f>
        <v>520881.96723742329</v>
      </c>
      <c r="CO25" s="27">
        <f xml:space="preserve"> BX25 * CC25</f>
        <v>1143387.6868585276</v>
      </c>
      <c r="CP25" s="27">
        <f xml:space="preserve"> BX25 * CD25</f>
        <v>538064.79381577764</v>
      </c>
      <c r="CX25">
        <f xml:space="preserve"> 1 - 0.01</f>
        <v>0.99</v>
      </c>
      <c r="CY25">
        <v>0.75</v>
      </c>
      <c r="DC25" s="27">
        <f xml:space="preserve"> CK25 * CX25</f>
        <v>1025130.7380543511</v>
      </c>
      <c r="DD25" s="27">
        <f xml:space="preserve"> CM25 * CX25</f>
        <v>1095805.4385757293</v>
      </c>
      <c r="DE25" s="27">
        <f xml:space="preserve"> CO25 * CX25</f>
        <v>1131953.8099899422</v>
      </c>
      <c r="DL25" s="27">
        <f xml:space="preserve"> CK25 * CY25</f>
        <v>776614.19549572049</v>
      </c>
      <c r="DM25" s="27">
        <f xml:space="preserve"> CM25 * CY25</f>
        <v>830155.63528464339</v>
      </c>
      <c r="DN25" s="27">
        <f xml:space="preserve"> CO25 * CY25</f>
        <v>857540.76514389575</v>
      </c>
      <c r="DS25" s="27"/>
      <c r="DT25" s="27"/>
      <c r="DU25" s="27"/>
      <c r="DV25" s="47">
        <f>$BI25+$AU25</f>
        <v>216931.02310007415</v>
      </c>
      <c r="DW25" s="27">
        <f>$BJ25+$AU25</f>
        <v>111947.80782767638</v>
      </c>
      <c r="DX25" s="42">
        <f>$BK25+$AU25</f>
        <v>58251.474770318819</v>
      </c>
      <c r="DY25" s="54"/>
      <c r="DZ25" s="42"/>
      <c r="EA25" s="42"/>
      <c r="EB25" s="121" t="s">
        <v>374</v>
      </c>
      <c r="EC25" s="27"/>
      <c r="ED25" s="27"/>
      <c r="EE25" s="27"/>
      <c r="EF25" s="47">
        <f t="shared" ref="EF25:EH25" si="16" xml:space="preserve"> DL25 + DV25</f>
        <v>993545.21859579463</v>
      </c>
      <c r="EG25" s="27">
        <f xml:space="preserve"> DM25 + DW25</f>
        <v>942103.4431123198</v>
      </c>
      <c r="EH25" s="42">
        <f t="shared" si="16"/>
        <v>915792.23991421459</v>
      </c>
      <c r="EI25" s="54"/>
      <c r="EJ25" s="42"/>
      <c r="EK25" s="197"/>
      <c r="EL25" s="27"/>
      <c r="EM25" s="27"/>
      <c r="EN25" s="27"/>
      <c r="EO25" s="47">
        <f xml:space="preserve"> DC25 + DV25</f>
        <v>1242061.7611544253</v>
      </c>
      <c r="EP25" s="27">
        <f xml:space="preserve"> DD25 + DW25</f>
        <v>1207753.2464034057</v>
      </c>
      <c r="EQ25" s="42">
        <f xml:space="preserve"> DE25 + DX25</f>
        <v>1190205.284760261</v>
      </c>
      <c r="ER25" s="54"/>
      <c r="ES25" s="42"/>
      <c r="ET25" s="197"/>
    </row>
    <row r="26" spans="1:151" x14ac:dyDescent="0.2">
      <c r="A26" s="3" t="s">
        <v>48</v>
      </c>
      <c r="B26">
        <v>2369</v>
      </c>
      <c r="C26">
        <v>1327</v>
      </c>
      <c r="D26">
        <v>0.63</v>
      </c>
      <c r="E26">
        <v>0.32</v>
      </c>
      <c r="F26" s="2">
        <f t="shared" si="9"/>
        <v>758.08</v>
      </c>
      <c r="G26" t="s">
        <v>11</v>
      </c>
      <c r="H26" s="20"/>
      <c r="I26" s="21"/>
      <c r="J26">
        <v>758</v>
      </c>
      <c r="K26" s="94">
        <v>38.987000000000002</v>
      </c>
      <c r="L26">
        <v>0.63</v>
      </c>
      <c r="M26" s="38">
        <v>477.54</v>
      </c>
      <c r="N26" s="27"/>
      <c r="O26" s="27">
        <f t="shared" si="10"/>
        <v>18617.851979999999</v>
      </c>
      <c r="P26" s="27"/>
      <c r="Q26" s="27"/>
      <c r="R26" s="142"/>
      <c r="S26" s="27"/>
      <c r="T26" s="18"/>
      <c r="U26">
        <v>2.3999999999999998E-3</v>
      </c>
      <c r="V26">
        <v>0.99760000000000004</v>
      </c>
      <c r="W26" s="94"/>
      <c r="X26" s="94">
        <f t="shared" si="11"/>
        <v>44.682844751999994</v>
      </c>
      <c r="Y26" s="94"/>
      <c r="Z26" s="94"/>
      <c r="AA26" s="94">
        <f t="shared" si="12"/>
        <v>18573.169135248001</v>
      </c>
      <c r="AB26" s="94"/>
      <c r="AI26" s="18"/>
      <c r="AJ26">
        <v>471</v>
      </c>
      <c r="AK26" s="34">
        <f t="shared" ref="AK26:AK50" si="17">$AJ26/8760</f>
        <v>5.3767123287671234E-2</v>
      </c>
      <c r="AL26" s="34">
        <f t="shared" si="13"/>
        <v>0.94623287671232881</v>
      </c>
      <c r="AM26" s="94"/>
      <c r="AN26" s="94"/>
      <c r="AO26" s="94"/>
      <c r="AP26" s="27"/>
      <c r="AQ26" s="27"/>
      <c r="AR26" s="94">
        <f t="shared" si="14"/>
        <v>998.62587473764938</v>
      </c>
      <c r="AS26" s="94">
        <f t="shared" si="15"/>
        <v>499.31293736882469</v>
      </c>
      <c r="AT26" s="27">
        <f t="shared" ref="AT26:AT50" si="18">$AL26*$AA26 + AS26</f>
        <v>18073.856197879177</v>
      </c>
      <c r="AV26" s="27"/>
      <c r="AW26" s="94"/>
      <c r="AX26" s="94"/>
      <c r="AY26" s="27"/>
      <c r="AZ26" s="27"/>
      <c r="BA26" s="27"/>
      <c r="BB26" s="18"/>
      <c r="BO26" s="117"/>
      <c r="BV26" s="251"/>
      <c r="BW26" s="251"/>
      <c r="BX26" s="251"/>
      <c r="BY26" s="251"/>
      <c r="DX26" s="38"/>
      <c r="DY26" s="38"/>
      <c r="DZ26" s="38"/>
      <c r="EA26" s="38"/>
      <c r="EB26" s="38" t="s">
        <v>373</v>
      </c>
      <c r="EC26" s="38"/>
      <c r="ED26" s="238"/>
      <c r="EE26" s="238"/>
      <c r="EF26" s="38"/>
      <c r="EG26" s="238" t="s">
        <v>403</v>
      </c>
      <c r="EH26" s="38"/>
      <c r="EI26" s="238"/>
      <c r="EJ26" s="38"/>
      <c r="EK26" s="237"/>
      <c r="EL26" s="38"/>
      <c r="EM26" s="38"/>
      <c r="EN26" s="38"/>
      <c r="EO26" s="38"/>
      <c r="EP26" s="38"/>
      <c r="EQ26" s="38"/>
      <c r="ER26" s="38"/>
      <c r="ES26" s="38"/>
      <c r="ET26" s="38"/>
      <c r="EU26" s="38"/>
    </row>
    <row r="27" spans="1:151" x14ac:dyDescent="0.2">
      <c r="A27" s="3" t="s">
        <v>49</v>
      </c>
      <c r="B27">
        <v>1522</v>
      </c>
      <c r="C27">
        <v>1386</v>
      </c>
      <c r="D27">
        <v>1.43</v>
      </c>
      <c r="E27">
        <v>0.42299999999999999</v>
      </c>
      <c r="F27" s="2">
        <f t="shared" si="9"/>
        <v>643.80599999999993</v>
      </c>
      <c r="G27" t="s">
        <v>11</v>
      </c>
      <c r="H27" s="20"/>
      <c r="I27" s="21"/>
      <c r="J27">
        <v>644</v>
      </c>
      <c r="K27" s="94">
        <v>38.987000000000002</v>
      </c>
      <c r="L27">
        <v>1.43</v>
      </c>
      <c r="M27" s="38">
        <v>920.92</v>
      </c>
      <c r="N27" s="27"/>
      <c r="O27" s="27">
        <f t="shared" si="10"/>
        <v>35903.908040000002</v>
      </c>
      <c r="P27" s="27"/>
      <c r="Q27" s="27"/>
      <c r="R27" s="27"/>
      <c r="S27" s="27"/>
      <c r="T27" s="18"/>
      <c r="U27">
        <v>2.3999999999999998E-3</v>
      </c>
      <c r="V27">
        <v>0.99760000000000004</v>
      </c>
      <c r="W27" s="94"/>
      <c r="X27" s="94">
        <f t="shared" si="11"/>
        <v>86.169379296000002</v>
      </c>
      <c r="Y27" s="94"/>
      <c r="Z27" s="94"/>
      <c r="AA27" s="94">
        <f t="shared" si="12"/>
        <v>35817.738660704003</v>
      </c>
      <c r="AB27" s="94"/>
      <c r="AI27" s="18"/>
      <c r="AJ27">
        <v>0</v>
      </c>
      <c r="AK27" s="34">
        <f t="shared" si="17"/>
        <v>0</v>
      </c>
      <c r="AL27" s="34">
        <f t="shared" si="13"/>
        <v>1</v>
      </c>
      <c r="AM27" s="94"/>
      <c r="AN27" s="94"/>
      <c r="AO27" s="94"/>
      <c r="AP27" s="27"/>
      <c r="AQ27" s="27"/>
      <c r="AR27" s="94">
        <f t="shared" si="14"/>
        <v>0</v>
      </c>
      <c r="AS27" s="94">
        <f t="shared" si="15"/>
        <v>0</v>
      </c>
      <c r="AT27" s="27">
        <f t="shared" si="18"/>
        <v>35817.738660704003</v>
      </c>
      <c r="AU27" s="27"/>
      <c r="AV27" s="27"/>
      <c r="AW27" s="94"/>
      <c r="AX27" s="94"/>
      <c r="AY27" s="27"/>
      <c r="AZ27" s="27"/>
      <c r="BA27" s="27"/>
      <c r="BB27" s="18"/>
      <c r="BO27" s="117"/>
      <c r="BV27" s="251"/>
      <c r="BW27" s="251"/>
      <c r="BX27" s="251"/>
      <c r="BY27" s="251"/>
      <c r="DL27" s="260"/>
      <c r="DM27" s="260"/>
      <c r="DN27" s="260"/>
      <c r="DO27" s="260"/>
      <c r="DX27" s="38"/>
      <c r="DY27" s="38"/>
      <c r="DZ27" s="38"/>
      <c r="EA27" s="38"/>
      <c r="EB27" s="38"/>
      <c r="EC27" s="38"/>
      <c r="ED27" s="38"/>
      <c r="EE27" s="261"/>
      <c r="EF27" s="261"/>
      <c r="EG27" s="261"/>
      <c r="EH27" s="261"/>
      <c r="EI27" s="261"/>
      <c r="EJ27" s="38"/>
      <c r="EK27" s="38"/>
      <c r="EL27" s="38"/>
      <c r="EM27" s="38"/>
      <c r="EN27" s="38"/>
      <c r="EO27" s="38"/>
      <c r="EP27" s="38"/>
      <c r="EQ27" s="38"/>
      <c r="ER27" s="38"/>
      <c r="ES27" s="38"/>
      <c r="ET27" s="38"/>
    </row>
    <row r="28" spans="1:151" x14ac:dyDescent="0.2">
      <c r="A28" s="3" t="s">
        <v>50</v>
      </c>
      <c r="B28">
        <v>1607</v>
      </c>
      <c r="C28">
        <v>1723</v>
      </c>
      <c r="D28">
        <v>0.67</v>
      </c>
      <c r="E28">
        <v>0.66</v>
      </c>
      <c r="F28" s="2">
        <f t="shared" si="9"/>
        <v>1060.6200000000001</v>
      </c>
      <c r="G28" t="s">
        <v>11</v>
      </c>
      <c r="H28" s="20"/>
      <c r="I28" s="21"/>
      <c r="J28">
        <v>1061</v>
      </c>
      <c r="K28" s="94">
        <v>38.987000000000002</v>
      </c>
      <c r="L28">
        <v>0.67</v>
      </c>
      <c r="M28" s="38">
        <v>710.87</v>
      </c>
      <c r="N28" s="27"/>
      <c r="O28" s="27">
        <f t="shared" si="10"/>
        <v>27714.688690000003</v>
      </c>
      <c r="P28" s="27"/>
      <c r="Q28" s="27"/>
      <c r="R28" s="27"/>
      <c r="S28" s="27"/>
      <c r="T28" s="18"/>
      <c r="U28">
        <v>2.3999999999999998E-3</v>
      </c>
      <c r="V28">
        <v>0.99760000000000004</v>
      </c>
      <c r="W28" s="94"/>
      <c r="X28" s="94">
        <f t="shared" si="11"/>
        <v>66.515252856000004</v>
      </c>
      <c r="Y28" s="94"/>
      <c r="Z28" s="94"/>
      <c r="AA28" s="94">
        <f t="shared" si="12"/>
        <v>27648.173437144003</v>
      </c>
      <c r="AB28" s="94"/>
      <c r="AI28" s="18"/>
      <c r="AJ28">
        <v>121</v>
      </c>
      <c r="AK28" s="34">
        <f t="shared" si="17"/>
        <v>1.3812785388127854E-2</v>
      </c>
      <c r="AL28" s="34">
        <f t="shared" si="13"/>
        <v>0.9861872146118722</v>
      </c>
      <c r="AM28" s="94"/>
      <c r="AN28" s="94"/>
      <c r="AO28" s="94"/>
      <c r="AP28" s="27"/>
      <c r="AQ28" s="27"/>
      <c r="AR28" s="94">
        <f t="shared" si="14"/>
        <v>381.89828606100735</v>
      </c>
      <c r="AS28" s="94">
        <f t="shared" si="15"/>
        <v>190.94914303050368</v>
      </c>
      <c r="AT28" s="27">
        <f t="shared" si="18"/>
        <v>27457.224294113501</v>
      </c>
      <c r="AU28" s="27"/>
      <c r="AV28" s="27"/>
      <c r="AW28" s="94"/>
      <c r="AX28" s="94"/>
      <c r="AY28" s="27"/>
      <c r="AZ28" s="27"/>
      <c r="BA28" s="27"/>
      <c r="BB28" s="18"/>
      <c r="BO28" s="117"/>
      <c r="BV28" s="251"/>
      <c r="BW28" s="251"/>
      <c r="BX28" s="251"/>
      <c r="BY28" s="251"/>
      <c r="CC28" s="172" t="s">
        <v>289</v>
      </c>
      <c r="CD28" s="172"/>
      <c r="CE28" s="173"/>
      <c r="CF28" s="173"/>
      <c r="CG28" s="173"/>
      <c r="CH28" s="173"/>
      <c r="CI28" s="173"/>
      <c r="CJ28" s="173"/>
      <c r="CK28" s="173"/>
      <c r="CL28" s="173"/>
      <c r="CM28" s="173"/>
      <c r="CN28" s="173"/>
      <c r="CO28" s="173"/>
      <c r="CP28" s="173"/>
      <c r="CQ28" s="173"/>
      <c r="CR28" s="173"/>
      <c r="DL28" s="260"/>
      <c r="DM28" s="260"/>
      <c r="DN28" s="260"/>
      <c r="DO28" s="260"/>
      <c r="DX28" s="38"/>
      <c r="DY28" s="38"/>
      <c r="DZ28" s="38"/>
      <c r="EA28" s="38"/>
      <c r="EB28" s="38"/>
      <c r="EC28" s="38"/>
      <c r="ED28" s="38"/>
      <c r="EE28" s="261"/>
      <c r="EF28" s="261"/>
      <c r="EG28" s="261"/>
      <c r="EH28" s="261"/>
      <c r="EI28" s="261"/>
      <c r="EJ28" s="38"/>
      <c r="EK28" s="38"/>
      <c r="EL28" s="38"/>
      <c r="EM28" s="38"/>
      <c r="EN28" s="38"/>
      <c r="EO28" s="38"/>
      <c r="EP28" s="38"/>
      <c r="EQ28" s="38"/>
      <c r="ER28" s="38"/>
      <c r="ES28" s="38"/>
      <c r="ET28" s="38"/>
    </row>
    <row r="29" spans="1:151" ht="17" x14ac:dyDescent="0.2">
      <c r="A29" s="3" t="s">
        <v>51</v>
      </c>
      <c r="B29">
        <v>1212</v>
      </c>
      <c r="C29">
        <v>741</v>
      </c>
      <c r="D29">
        <v>6.44</v>
      </c>
      <c r="E29">
        <v>0.95</v>
      </c>
      <c r="F29" s="2">
        <f t="shared" si="9"/>
        <v>1151.3999999999999</v>
      </c>
      <c r="G29" t="s">
        <v>11</v>
      </c>
      <c r="H29" s="20"/>
      <c r="I29" s="21"/>
      <c r="J29">
        <v>1151</v>
      </c>
      <c r="K29" s="94">
        <v>38.987000000000002</v>
      </c>
      <c r="L29">
        <v>6.44</v>
      </c>
      <c r="M29" s="38">
        <v>7412.44</v>
      </c>
      <c r="N29" s="27"/>
      <c r="O29" s="27">
        <f t="shared" si="10"/>
        <v>288988.79828000005</v>
      </c>
      <c r="P29" s="27"/>
      <c r="Q29" s="27"/>
      <c r="R29" s="27"/>
      <c r="S29" s="27"/>
      <c r="T29" s="18"/>
      <c r="U29">
        <v>2.3999999999999998E-3</v>
      </c>
      <c r="V29">
        <v>0.99760000000000004</v>
      </c>
      <c r="W29" s="94"/>
      <c r="X29" s="94">
        <f t="shared" si="11"/>
        <v>693.57311587200002</v>
      </c>
      <c r="Y29" s="94"/>
      <c r="Z29" s="94"/>
      <c r="AA29" s="94">
        <f t="shared" si="12"/>
        <v>288295.22516412806</v>
      </c>
      <c r="AB29" s="94"/>
      <c r="AI29" s="18"/>
      <c r="AJ29">
        <v>2</v>
      </c>
      <c r="AK29" s="34">
        <f t="shared" si="17"/>
        <v>2.2831050228310502E-4</v>
      </c>
      <c r="AL29" s="34">
        <f t="shared" si="13"/>
        <v>0.99977168949771689</v>
      </c>
      <c r="AM29" s="94"/>
      <c r="AN29" s="94"/>
      <c r="AO29" s="94"/>
      <c r="AP29" s="27"/>
      <c r="AQ29" s="27"/>
      <c r="AR29" s="94">
        <f t="shared" si="14"/>
        <v>65.820827663042934</v>
      </c>
      <c r="AS29" s="94">
        <f t="shared" si="15"/>
        <v>32.910413831521467</v>
      </c>
      <c r="AT29" s="27">
        <f t="shared" si="18"/>
        <v>288262.31475029653</v>
      </c>
      <c r="AU29" s="27"/>
      <c r="AV29" s="27"/>
      <c r="AW29" s="94"/>
      <c r="AX29" s="94"/>
      <c r="AY29" s="27"/>
      <c r="AZ29" s="27"/>
      <c r="BA29" s="27"/>
      <c r="BB29" s="18"/>
      <c r="BO29" s="117"/>
      <c r="BV29" s="251"/>
      <c r="BW29" s="251"/>
      <c r="BX29" s="251"/>
      <c r="BY29" s="251"/>
      <c r="CC29" s="171" t="s">
        <v>93</v>
      </c>
      <c r="DL29" s="260"/>
      <c r="DM29" s="260"/>
      <c r="DN29" s="260"/>
      <c r="DO29" s="260"/>
      <c r="DX29" s="38"/>
      <c r="DY29" s="38"/>
      <c r="DZ29" s="38"/>
      <c r="EA29" s="38"/>
      <c r="EB29" s="38"/>
      <c r="EC29" s="38"/>
      <c r="ED29" s="38"/>
      <c r="EE29" s="261"/>
      <c r="EF29" s="261"/>
      <c r="EG29" s="261"/>
      <c r="EH29" s="261"/>
      <c r="EI29" s="261"/>
      <c r="EJ29" s="38"/>
      <c r="EK29" s="38"/>
      <c r="EL29" s="38"/>
      <c r="EM29" s="38"/>
      <c r="EN29" s="38"/>
      <c r="EO29" s="38"/>
      <c r="EP29" s="38"/>
      <c r="EQ29" s="38"/>
      <c r="ER29" s="38"/>
      <c r="ES29" s="38"/>
      <c r="ET29" s="38"/>
    </row>
    <row r="30" spans="1:151" x14ac:dyDescent="0.2">
      <c r="A30" s="3" t="s">
        <v>52</v>
      </c>
      <c r="B30">
        <v>1569</v>
      </c>
      <c r="C30">
        <v>87</v>
      </c>
      <c r="D30">
        <v>1.47</v>
      </c>
      <c r="E30">
        <v>0.21</v>
      </c>
      <c r="F30" s="2">
        <f t="shared" si="9"/>
        <v>329.49</v>
      </c>
      <c r="G30" t="s">
        <v>11</v>
      </c>
      <c r="H30" s="20"/>
      <c r="I30" s="21"/>
      <c r="J30">
        <v>329</v>
      </c>
      <c r="K30" s="94">
        <v>38.987000000000002</v>
      </c>
      <c r="L30">
        <v>1.47</v>
      </c>
      <c r="M30" s="38">
        <v>483.63</v>
      </c>
      <c r="N30" s="27"/>
      <c r="O30" s="27">
        <f t="shared" si="10"/>
        <v>18855.282810000001</v>
      </c>
      <c r="P30" s="27"/>
      <c r="Q30" s="27"/>
      <c r="R30" s="27"/>
      <c r="S30" s="27"/>
      <c r="T30" s="18"/>
      <c r="U30">
        <v>2.3999999999999998E-3</v>
      </c>
      <c r="V30">
        <v>0.99760000000000004</v>
      </c>
      <c r="W30" s="94"/>
      <c r="X30" s="94">
        <f t="shared" si="11"/>
        <v>45.252678744000001</v>
      </c>
      <c r="Y30" s="94"/>
      <c r="Z30" s="94"/>
      <c r="AA30" s="94">
        <f t="shared" si="12"/>
        <v>18810.030131256</v>
      </c>
      <c r="AB30" s="94"/>
      <c r="AI30" s="18"/>
      <c r="AJ30">
        <v>0</v>
      </c>
      <c r="AK30" s="34">
        <f t="shared" si="17"/>
        <v>0</v>
      </c>
      <c r="AL30" s="34">
        <f t="shared" si="13"/>
        <v>1</v>
      </c>
      <c r="AM30" s="94"/>
      <c r="AN30" s="94"/>
      <c r="AO30" s="94"/>
      <c r="AP30" s="27"/>
      <c r="AQ30" s="27"/>
      <c r="AR30" s="94">
        <f t="shared" si="14"/>
        <v>0</v>
      </c>
      <c r="AS30" s="94">
        <f t="shared" si="15"/>
        <v>0</v>
      </c>
      <c r="AT30" s="27">
        <f t="shared" si="18"/>
        <v>18810.030131256</v>
      </c>
      <c r="AU30" s="27"/>
      <c r="AV30" s="27"/>
      <c r="AW30" s="94"/>
      <c r="AX30" s="94"/>
      <c r="AY30" s="27"/>
      <c r="AZ30" s="27"/>
      <c r="BA30" s="27"/>
      <c r="BB30" s="18"/>
      <c r="BO30" s="117"/>
      <c r="BV30" s="251"/>
      <c r="BW30" s="251"/>
      <c r="BX30" s="251"/>
      <c r="BY30" s="251"/>
      <c r="CJ30" s="260"/>
      <c r="CK30" s="260"/>
      <c r="CL30" s="260"/>
      <c r="CM30" s="260"/>
      <c r="CN30" s="260"/>
      <c r="CO30" s="260"/>
      <c r="CP30" s="260"/>
      <c r="DL30" s="260"/>
      <c r="DM30" s="260"/>
      <c r="DN30" s="260"/>
      <c r="DO30" s="260"/>
      <c r="DX30" s="38"/>
      <c r="DY30" s="38"/>
      <c r="DZ30" s="38"/>
      <c r="EA30" s="38"/>
      <c r="EB30" s="38"/>
      <c r="EC30" s="38"/>
      <c r="ED30" s="38"/>
      <c r="EE30" s="261"/>
      <c r="EF30" s="261"/>
      <c r="EG30" s="261"/>
      <c r="EH30" s="261"/>
      <c r="EI30" s="261"/>
      <c r="EJ30" s="38"/>
      <c r="EK30" s="38"/>
      <c r="EL30" s="38"/>
      <c r="EM30" s="38"/>
      <c r="EN30" s="38"/>
      <c r="EO30" s="38"/>
      <c r="EP30" s="38"/>
      <c r="EQ30" s="38"/>
      <c r="ER30" s="38"/>
      <c r="ES30" s="38"/>
      <c r="ET30" s="38"/>
    </row>
    <row r="31" spans="1:151" x14ac:dyDescent="0.2">
      <c r="A31" s="3" t="s">
        <v>54</v>
      </c>
      <c r="B31">
        <v>1540</v>
      </c>
      <c r="C31">
        <v>570</v>
      </c>
      <c r="D31">
        <v>1.19</v>
      </c>
      <c r="E31">
        <v>0.15</v>
      </c>
      <c r="F31" s="2">
        <f t="shared" si="9"/>
        <v>231</v>
      </c>
      <c r="G31" t="s">
        <v>11</v>
      </c>
      <c r="H31" s="20"/>
      <c r="I31" s="21"/>
      <c r="J31">
        <v>231</v>
      </c>
      <c r="K31" s="94">
        <v>38.987000000000002</v>
      </c>
      <c r="L31">
        <v>1.19</v>
      </c>
      <c r="M31" s="38">
        <v>274.89</v>
      </c>
      <c r="N31" s="27"/>
      <c r="O31" s="27">
        <f t="shared" si="10"/>
        <v>10717.13643</v>
      </c>
      <c r="P31" s="27"/>
      <c r="Q31" s="27"/>
      <c r="R31" s="27"/>
      <c r="S31" s="27"/>
      <c r="T31" s="18"/>
      <c r="U31">
        <v>2.3999999999999998E-3</v>
      </c>
      <c r="V31">
        <v>0.99760000000000004</v>
      </c>
      <c r="W31" s="94"/>
      <c r="X31" s="94">
        <f t="shared" si="11"/>
        <v>25.721127431999999</v>
      </c>
      <c r="Y31" s="94"/>
      <c r="Z31" s="94"/>
      <c r="AA31" s="94">
        <f t="shared" si="12"/>
        <v>10691.415302568001</v>
      </c>
      <c r="AB31" s="94"/>
      <c r="AI31" s="18"/>
      <c r="AJ31">
        <v>19</v>
      </c>
      <c r="AK31" s="34">
        <f t="shared" si="17"/>
        <v>2.1689497716894978E-3</v>
      </c>
      <c r="AL31" s="34">
        <f t="shared" si="13"/>
        <v>0.99783105022831053</v>
      </c>
      <c r="AM31" s="94"/>
      <c r="AN31" s="94"/>
      <c r="AO31" s="94"/>
      <c r="AP31" s="27"/>
      <c r="AQ31" s="27"/>
      <c r="AR31" s="94">
        <f t="shared" si="14"/>
        <v>23.189142779542468</v>
      </c>
      <c r="AS31" s="94">
        <f t="shared" si="15"/>
        <v>11.594571389771234</v>
      </c>
      <c r="AT31" s="27">
        <f t="shared" si="18"/>
        <v>10679.82073117823</v>
      </c>
      <c r="AU31" s="27"/>
      <c r="AV31" s="27"/>
      <c r="AW31" s="94"/>
      <c r="AX31" s="94"/>
      <c r="AY31" s="27"/>
      <c r="AZ31" s="27"/>
      <c r="BA31" s="27"/>
      <c r="BB31" s="18"/>
      <c r="BO31" s="117"/>
      <c r="BV31" s="251"/>
      <c r="BW31" s="251"/>
      <c r="BX31" s="251"/>
      <c r="BY31" s="251"/>
      <c r="CJ31" s="260"/>
      <c r="CK31" s="260"/>
      <c r="CL31" s="260"/>
      <c r="CM31" s="260"/>
      <c r="CN31" s="260"/>
      <c r="CO31" s="260"/>
      <c r="CP31" s="260"/>
      <c r="DL31" s="260"/>
      <c r="DM31" s="260"/>
      <c r="DN31" s="260"/>
      <c r="DO31" s="260"/>
      <c r="DX31" s="38"/>
      <c r="DY31" s="38"/>
      <c r="DZ31" s="38"/>
      <c r="EA31" s="38"/>
      <c r="EB31" s="38"/>
      <c r="EC31" s="38"/>
      <c r="ED31" s="38"/>
      <c r="EE31" s="261"/>
      <c r="EF31" s="261"/>
      <c r="EG31" s="261"/>
      <c r="EH31" s="261"/>
      <c r="EI31" s="261"/>
      <c r="EJ31" s="38"/>
      <c r="EK31" s="38"/>
      <c r="EL31" s="38"/>
      <c r="EM31" s="38"/>
      <c r="EN31" s="38"/>
      <c r="EO31" s="38"/>
      <c r="EP31" s="38"/>
      <c r="EQ31" s="38"/>
      <c r="ER31" s="38"/>
      <c r="ES31" s="38"/>
      <c r="ET31" s="38"/>
    </row>
    <row r="32" spans="1:151" x14ac:dyDescent="0.2">
      <c r="A32" s="3" t="s">
        <v>55</v>
      </c>
      <c r="B32">
        <v>1512</v>
      </c>
      <c r="C32">
        <v>1053</v>
      </c>
      <c r="D32">
        <v>0.46</v>
      </c>
      <c r="E32">
        <v>0.1</v>
      </c>
      <c r="F32" s="2">
        <f t="shared" si="9"/>
        <v>151.20000000000002</v>
      </c>
      <c r="G32" t="s">
        <v>11</v>
      </c>
      <c r="H32" s="20"/>
      <c r="I32" s="21"/>
      <c r="J32">
        <v>151</v>
      </c>
      <c r="K32" s="94">
        <v>38.987000000000002</v>
      </c>
      <c r="L32">
        <v>0.46</v>
      </c>
      <c r="M32" s="38">
        <v>69.459999999999994</v>
      </c>
      <c r="N32" s="27"/>
      <c r="O32" s="27">
        <f t="shared" si="10"/>
        <v>2708.0370200000002</v>
      </c>
      <c r="P32" s="27"/>
      <c r="Q32" s="27"/>
      <c r="R32" s="27"/>
      <c r="S32" s="27"/>
      <c r="T32" s="18"/>
      <c r="U32">
        <v>2.3999999999999998E-3</v>
      </c>
      <c r="V32">
        <v>0.99760000000000004</v>
      </c>
      <c r="W32" s="94"/>
      <c r="X32" s="94">
        <f t="shared" si="11"/>
        <v>6.499288848</v>
      </c>
      <c r="Y32" s="94"/>
      <c r="Z32" s="94"/>
      <c r="AA32" s="94">
        <f t="shared" si="12"/>
        <v>2701.5377311520001</v>
      </c>
      <c r="AB32" s="94"/>
      <c r="AI32" s="18"/>
      <c r="AJ32">
        <v>11</v>
      </c>
      <c r="AK32" s="34">
        <f t="shared" si="17"/>
        <v>1.2557077625570776E-3</v>
      </c>
      <c r="AL32" s="34">
        <f t="shared" si="13"/>
        <v>0.99874429223744288</v>
      </c>
      <c r="AM32" s="94"/>
      <c r="AN32" s="94"/>
      <c r="AO32" s="94"/>
      <c r="AP32" s="27"/>
      <c r="AQ32" s="27"/>
      <c r="AR32" s="94">
        <f t="shared" si="14"/>
        <v>3.3923418998484021</v>
      </c>
      <c r="AS32" s="94">
        <f t="shared" si="15"/>
        <v>1.696170949924201</v>
      </c>
      <c r="AT32" s="27">
        <f t="shared" si="18"/>
        <v>2699.8415602020759</v>
      </c>
      <c r="AU32" s="27"/>
      <c r="AV32" s="27"/>
      <c r="AW32" s="94"/>
      <c r="AX32" s="94"/>
      <c r="AY32" s="27"/>
      <c r="AZ32" s="27"/>
      <c r="BA32" s="27"/>
      <c r="BB32" s="18"/>
      <c r="BO32" s="117"/>
      <c r="BV32" s="251"/>
      <c r="BW32" s="251"/>
      <c r="BX32" s="251"/>
      <c r="BY32" s="251"/>
      <c r="CJ32" s="260"/>
      <c r="CK32" s="260"/>
      <c r="CL32" s="260"/>
      <c r="CM32" s="260"/>
      <c r="CN32" s="260"/>
      <c r="CO32" s="260"/>
      <c r="CP32" s="260"/>
      <c r="DL32" s="260"/>
      <c r="DM32" s="260"/>
      <c r="DN32" s="260"/>
      <c r="DO32" s="260"/>
      <c r="DX32" s="38"/>
      <c r="DY32" s="38"/>
      <c r="DZ32" s="38"/>
      <c r="EA32" s="38"/>
      <c r="EB32" s="38"/>
      <c r="EC32" s="38"/>
      <c r="ED32" s="38"/>
      <c r="EE32" s="261"/>
      <c r="EF32" s="261"/>
      <c r="EG32" s="261"/>
      <c r="EH32" s="261"/>
      <c r="EI32" s="261"/>
      <c r="EJ32" s="38"/>
      <c r="EK32" s="38"/>
      <c r="EL32" s="38"/>
      <c r="EM32" s="38"/>
      <c r="EN32" s="38"/>
      <c r="EO32" s="38"/>
      <c r="EP32" s="38"/>
      <c r="EQ32" s="38"/>
      <c r="ER32" s="38"/>
      <c r="ES32" s="38"/>
      <c r="ET32" s="38"/>
    </row>
    <row r="33" spans="1:150" x14ac:dyDescent="0.2">
      <c r="A33" s="3" t="s">
        <v>56</v>
      </c>
      <c r="B33">
        <v>1568</v>
      </c>
      <c r="C33">
        <v>87</v>
      </c>
      <c r="D33">
        <v>0.66</v>
      </c>
      <c r="E33">
        <v>0.05</v>
      </c>
      <c r="F33" s="2">
        <f t="shared" si="9"/>
        <v>78.400000000000006</v>
      </c>
      <c r="G33" t="s">
        <v>11</v>
      </c>
      <c r="H33" s="20"/>
      <c r="I33" s="21"/>
      <c r="J33">
        <v>78</v>
      </c>
      <c r="K33" s="94">
        <v>38.987000000000002</v>
      </c>
      <c r="L33">
        <v>0.66</v>
      </c>
      <c r="M33" s="38">
        <v>51.48</v>
      </c>
      <c r="N33" s="27"/>
      <c r="O33" s="27">
        <f t="shared" si="10"/>
        <v>2007.0507600000003</v>
      </c>
      <c r="P33" s="27"/>
      <c r="Q33" s="27"/>
      <c r="R33" s="27"/>
      <c r="S33" s="27"/>
      <c r="T33" s="18"/>
      <c r="U33">
        <v>2.3999999999999998E-3</v>
      </c>
      <c r="V33">
        <v>0.99760000000000004</v>
      </c>
      <c r="W33" s="94"/>
      <c r="X33" s="94">
        <f t="shared" si="11"/>
        <v>4.8169218240000005</v>
      </c>
      <c r="Y33" s="94"/>
      <c r="Z33" s="94"/>
      <c r="AA33" s="94">
        <f t="shared" si="12"/>
        <v>2002.2338381760003</v>
      </c>
      <c r="AB33" s="94"/>
      <c r="AI33" s="18"/>
      <c r="AJ33">
        <v>112</v>
      </c>
      <c r="AK33" s="34">
        <f t="shared" si="17"/>
        <v>1.2785388127853882E-2</v>
      </c>
      <c r="AL33" s="34">
        <f t="shared" si="13"/>
        <v>0.9872146118721461</v>
      </c>
      <c r="AM33" s="94"/>
      <c r="AN33" s="94"/>
      <c r="AO33" s="94"/>
      <c r="AP33" s="27"/>
      <c r="AQ33" s="27"/>
      <c r="AR33" s="94">
        <f t="shared" si="14"/>
        <v>25.599336743802745</v>
      </c>
      <c r="AS33" s="94">
        <f t="shared" si="15"/>
        <v>12.799668371901372</v>
      </c>
      <c r="AT33" s="27">
        <f t="shared" si="18"/>
        <v>1989.4341698040989</v>
      </c>
      <c r="AU33" s="27"/>
      <c r="AV33" s="27"/>
      <c r="AW33" s="94"/>
      <c r="AX33" s="94"/>
      <c r="AY33" s="27"/>
      <c r="AZ33" s="27"/>
      <c r="BA33" s="27"/>
      <c r="BB33" s="18"/>
      <c r="BO33" s="117"/>
      <c r="BV33" s="251"/>
      <c r="BW33" s="251"/>
      <c r="BX33" s="251"/>
      <c r="BY33" s="251"/>
      <c r="CJ33" s="260"/>
      <c r="CK33" s="260"/>
      <c r="CL33" s="260"/>
      <c r="CM33" s="260"/>
      <c r="CN33" s="260"/>
      <c r="CO33" s="260"/>
      <c r="CP33" s="260"/>
      <c r="DL33" s="260"/>
      <c r="DM33" s="260"/>
      <c r="DN33" s="260"/>
      <c r="DO33" s="260"/>
      <c r="DX33" s="38"/>
      <c r="DY33" s="38"/>
      <c r="DZ33" s="38"/>
      <c r="EA33" s="38"/>
      <c r="EB33" s="38"/>
      <c r="EC33" s="38"/>
      <c r="ED33" s="38"/>
      <c r="EE33" s="261"/>
      <c r="EF33" s="261"/>
      <c r="EG33" s="261"/>
      <c r="EH33" s="261"/>
      <c r="EI33" s="261"/>
      <c r="EJ33" s="38"/>
      <c r="EK33" s="38"/>
      <c r="EL33" s="38"/>
      <c r="EM33" s="38"/>
      <c r="EN33" s="38"/>
      <c r="EO33" s="38"/>
      <c r="EP33" s="38"/>
      <c r="EQ33" s="38"/>
      <c r="ER33" s="38"/>
      <c r="ES33" s="38"/>
      <c r="ET33" s="38"/>
    </row>
    <row r="34" spans="1:150" x14ac:dyDescent="0.2">
      <c r="A34" s="3" t="s">
        <v>53</v>
      </c>
      <c r="B34">
        <v>1540</v>
      </c>
      <c r="C34">
        <v>570</v>
      </c>
      <c r="D34">
        <v>1.23</v>
      </c>
      <c r="E34">
        <v>0.12</v>
      </c>
      <c r="F34" s="2">
        <f t="shared" si="9"/>
        <v>184.79999999999998</v>
      </c>
      <c r="G34" t="s">
        <v>11</v>
      </c>
      <c r="H34" s="20"/>
      <c r="I34" s="21"/>
      <c r="J34">
        <v>185</v>
      </c>
      <c r="K34" s="94">
        <v>38.987000000000002</v>
      </c>
      <c r="L34">
        <v>1.23</v>
      </c>
      <c r="M34" s="38">
        <v>227.55</v>
      </c>
      <c r="N34" s="27"/>
      <c r="O34" s="27">
        <f t="shared" si="10"/>
        <v>8871.4918500000003</v>
      </c>
      <c r="P34" s="27"/>
      <c r="Q34" s="27"/>
      <c r="R34" s="27"/>
      <c r="S34" s="27"/>
      <c r="T34" s="18"/>
      <c r="U34">
        <v>2.3999999999999998E-3</v>
      </c>
      <c r="V34">
        <v>0.99760000000000004</v>
      </c>
      <c r="W34" s="94"/>
      <c r="X34" s="94">
        <f t="shared" si="11"/>
        <v>21.291580440000001</v>
      </c>
      <c r="Y34" s="94"/>
      <c r="Z34" s="94"/>
      <c r="AA34" s="94">
        <f t="shared" si="12"/>
        <v>8850.2002695600004</v>
      </c>
      <c r="AB34" s="94"/>
      <c r="AI34" s="18"/>
      <c r="AJ34">
        <v>24</v>
      </c>
      <c r="AK34" s="34">
        <f t="shared" si="17"/>
        <v>2.7397260273972603E-3</v>
      </c>
      <c r="AL34" s="34">
        <f t="shared" si="13"/>
        <v>0.99726027397260275</v>
      </c>
      <c r="AM34" s="94"/>
      <c r="AN34" s="94"/>
      <c r="AO34" s="94"/>
      <c r="AP34" s="27"/>
      <c r="AQ34" s="27"/>
      <c r="AR34" s="94">
        <f t="shared" si="14"/>
        <v>24.247124026191781</v>
      </c>
      <c r="AS34" s="94">
        <f t="shared" si="15"/>
        <v>12.12356201309589</v>
      </c>
      <c r="AT34" s="27">
        <f t="shared" si="18"/>
        <v>8838.0767075469048</v>
      </c>
      <c r="AU34" s="27"/>
      <c r="AV34" s="27"/>
      <c r="AW34" s="94"/>
      <c r="AX34" s="94"/>
      <c r="AY34" s="27"/>
      <c r="AZ34" s="27"/>
      <c r="BA34" s="27"/>
      <c r="BB34" s="18"/>
      <c r="BO34" s="117"/>
      <c r="BV34" s="251"/>
      <c r="BW34" s="251"/>
      <c r="BX34" s="251"/>
      <c r="BY34" s="251"/>
      <c r="CJ34" s="260"/>
      <c r="CK34" s="260"/>
      <c r="CL34" s="260"/>
      <c r="CM34" s="260"/>
      <c r="CN34" s="260"/>
      <c r="CO34" s="260"/>
      <c r="CP34" s="260"/>
      <c r="DL34" s="260"/>
      <c r="DM34" s="260"/>
      <c r="DN34" s="260"/>
      <c r="DO34" s="260"/>
      <c r="DX34" s="38"/>
      <c r="DY34" s="38"/>
      <c r="DZ34" s="38"/>
      <c r="EA34" s="38"/>
      <c r="EB34" s="38"/>
      <c r="EC34" s="38"/>
      <c r="ED34" s="38"/>
      <c r="EE34" s="38"/>
      <c r="EF34" s="38"/>
      <c r="EG34" s="38"/>
      <c r="EH34" s="38"/>
      <c r="EI34" s="38"/>
      <c r="EJ34" s="38"/>
      <c r="EK34" s="38"/>
      <c r="EL34" s="38"/>
      <c r="EM34" s="38"/>
      <c r="EN34" s="38"/>
      <c r="EO34" s="38"/>
      <c r="EP34" s="38"/>
      <c r="EQ34" s="38"/>
      <c r="ER34" s="38"/>
      <c r="ES34" s="38"/>
      <c r="ET34" s="38"/>
    </row>
    <row r="35" spans="1:150" x14ac:dyDescent="0.2">
      <c r="A35" s="3" t="s">
        <v>57</v>
      </c>
      <c r="B35">
        <v>1927</v>
      </c>
      <c r="C35">
        <v>748</v>
      </c>
      <c r="D35">
        <v>1.35</v>
      </c>
      <c r="E35">
        <v>0.2</v>
      </c>
      <c r="F35" s="2">
        <f t="shared" si="9"/>
        <v>385.40000000000003</v>
      </c>
      <c r="G35" t="s">
        <v>11</v>
      </c>
      <c r="H35" s="20"/>
      <c r="I35" s="21"/>
      <c r="J35">
        <v>385</v>
      </c>
      <c r="K35" s="94">
        <v>38.987000000000002</v>
      </c>
      <c r="L35">
        <v>1.35</v>
      </c>
      <c r="M35" s="38">
        <v>519.75</v>
      </c>
      <c r="N35" s="27"/>
      <c r="O35" s="27">
        <f t="shared" si="10"/>
        <v>20263.493250000003</v>
      </c>
      <c r="P35" s="27"/>
      <c r="Q35" s="27"/>
      <c r="R35" s="27"/>
      <c r="S35" s="27"/>
      <c r="T35" s="18"/>
      <c r="U35">
        <v>2.3999999999999998E-3</v>
      </c>
      <c r="V35">
        <v>0.99760000000000004</v>
      </c>
      <c r="W35" s="94"/>
      <c r="X35" s="94">
        <f t="shared" si="11"/>
        <v>48.632383800000007</v>
      </c>
      <c r="Y35" s="94"/>
      <c r="Z35" s="94"/>
      <c r="AA35" s="94">
        <f t="shared" si="12"/>
        <v>20214.860866200004</v>
      </c>
      <c r="AB35" s="94"/>
      <c r="AI35" s="18"/>
      <c r="AJ35">
        <v>288</v>
      </c>
      <c r="AK35" s="34">
        <f t="shared" si="17"/>
        <v>3.287671232876712E-2</v>
      </c>
      <c r="AL35" s="34">
        <f t="shared" si="13"/>
        <v>0.9671232876712329</v>
      </c>
      <c r="AM35" s="94"/>
      <c r="AN35" s="94"/>
      <c r="AO35" s="94"/>
      <c r="AP35" s="27"/>
      <c r="AQ35" s="27"/>
      <c r="AR35" s="94">
        <f t="shared" si="14"/>
        <v>664.59816546410968</v>
      </c>
      <c r="AS35" s="94">
        <f t="shared" si="15"/>
        <v>332.29908273205484</v>
      </c>
      <c r="AT35" s="27">
        <f t="shared" si="18"/>
        <v>19882.561783467947</v>
      </c>
      <c r="AU35" s="27"/>
      <c r="AV35" s="27"/>
      <c r="AW35" s="94"/>
      <c r="AX35" s="94"/>
      <c r="AY35" s="27"/>
      <c r="AZ35" s="27"/>
      <c r="BA35" s="27"/>
      <c r="BB35" s="18"/>
      <c r="BO35" s="117"/>
      <c r="CJ35" s="260"/>
      <c r="CK35" s="260"/>
      <c r="CL35" s="260"/>
      <c r="CM35" s="260"/>
      <c r="CN35" s="260"/>
      <c r="CO35" s="260"/>
      <c r="CP35" s="260"/>
      <c r="DX35" s="38"/>
      <c r="DY35" s="38"/>
      <c r="DZ35" s="38"/>
      <c r="EA35" s="38"/>
      <c r="EB35" s="38"/>
      <c r="EC35" s="38"/>
      <c r="ED35" s="38"/>
      <c r="EE35" s="38"/>
      <c r="EF35" s="38"/>
      <c r="EG35" s="38"/>
      <c r="EH35" s="38"/>
      <c r="EI35" s="38"/>
      <c r="EJ35" s="38"/>
      <c r="EK35" s="38"/>
      <c r="EL35" s="38"/>
      <c r="EM35" s="38"/>
      <c r="EN35" s="38"/>
      <c r="EO35" s="38"/>
      <c r="EP35" s="38"/>
      <c r="EQ35" s="38"/>
      <c r="ER35" s="38"/>
      <c r="ES35" s="38"/>
      <c r="ET35" s="38"/>
    </row>
    <row r="36" spans="1:150" x14ac:dyDescent="0.2">
      <c r="A36" s="3" t="s">
        <v>73</v>
      </c>
      <c r="B36">
        <v>1764</v>
      </c>
      <c r="C36">
        <v>1055</v>
      </c>
      <c r="D36">
        <v>0.98</v>
      </c>
      <c r="E36">
        <v>0.5</v>
      </c>
      <c r="F36" s="2">
        <f t="shared" si="9"/>
        <v>882</v>
      </c>
      <c r="G36" t="s">
        <v>11</v>
      </c>
      <c r="H36" s="20"/>
      <c r="I36" s="21"/>
      <c r="J36">
        <v>882</v>
      </c>
      <c r="K36" s="94">
        <v>38.987000000000002</v>
      </c>
      <c r="L36">
        <v>0.98</v>
      </c>
      <c r="M36" s="38">
        <v>864.36</v>
      </c>
      <c r="N36" s="27"/>
      <c r="O36" s="27">
        <f t="shared" si="10"/>
        <v>33698.803319999999</v>
      </c>
      <c r="P36" s="27"/>
      <c r="Q36" s="27"/>
      <c r="R36" s="27"/>
      <c r="S36" s="27"/>
      <c r="T36" s="18"/>
      <c r="U36">
        <v>2.3999999999999998E-3</v>
      </c>
      <c r="V36">
        <v>0.99760000000000004</v>
      </c>
      <c r="W36" s="94"/>
      <c r="X36" s="94">
        <f t="shared" si="11"/>
        <v>80.877127967999996</v>
      </c>
      <c r="Y36" s="94"/>
      <c r="Z36" s="94"/>
      <c r="AA36" s="94">
        <f t="shared" si="12"/>
        <v>33617.926192031999</v>
      </c>
      <c r="AB36" s="94"/>
      <c r="AI36" s="18"/>
      <c r="AJ36">
        <v>43</v>
      </c>
      <c r="AK36" s="34">
        <f t="shared" si="17"/>
        <v>4.9086757990867581E-3</v>
      </c>
      <c r="AL36" s="34">
        <f t="shared" si="13"/>
        <v>0.99509132420091329</v>
      </c>
      <c r="AM36" s="94"/>
      <c r="AN36" s="94"/>
      <c r="AO36" s="94"/>
      <c r="AP36" s="27"/>
      <c r="AQ36" s="27"/>
      <c r="AR36" s="94">
        <f t="shared" si="14"/>
        <v>165.01950071431233</v>
      </c>
      <c r="AS36" s="94">
        <f t="shared" si="15"/>
        <v>82.509750357156165</v>
      </c>
      <c r="AT36" s="27">
        <f t="shared" si="18"/>
        <v>33535.416441674846</v>
      </c>
      <c r="AU36" s="27"/>
      <c r="AV36" s="27"/>
      <c r="AW36" s="94"/>
      <c r="AX36" s="94"/>
      <c r="AY36" s="27"/>
      <c r="AZ36" s="27"/>
      <c r="BA36" s="27"/>
      <c r="BB36" s="18"/>
      <c r="BO36" s="117"/>
      <c r="CJ36" s="260"/>
      <c r="CK36" s="260"/>
      <c r="CL36" s="260"/>
      <c r="CM36" s="260"/>
      <c r="CN36" s="260"/>
      <c r="CO36" s="260"/>
      <c r="CP36" s="260"/>
      <c r="DX36" s="38"/>
      <c r="DY36" s="38"/>
      <c r="DZ36" s="38"/>
      <c r="EA36" s="38"/>
      <c r="EB36" s="38"/>
      <c r="EC36" s="38"/>
      <c r="ED36" s="38"/>
      <c r="EE36" s="38"/>
      <c r="EF36" s="38"/>
      <c r="EG36" s="38"/>
      <c r="EH36" s="38"/>
      <c r="EI36" s="38"/>
      <c r="EJ36" s="38"/>
      <c r="EK36" s="38"/>
      <c r="EL36" s="38"/>
      <c r="EM36" s="38"/>
      <c r="EN36" s="38"/>
      <c r="EO36" s="38"/>
      <c r="EP36" s="38"/>
      <c r="EQ36" s="38"/>
      <c r="ER36" s="38"/>
      <c r="ES36" s="38"/>
      <c r="ET36" s="38"/>
    </row>
    <row r="37" spans="1:150" x14ac:dyDescent="0.2">
      <c r="A37" s="3" t="s">
        <v>59</v>
      </c>
      <c r="B37">
        <v>1648</v>
      </c>
      <c r="C37">
        <v>2043</v>
      </c>
      <c r="D37">
        <v>0.85</v>
      </c>
      <c r="F37" s="2">
        <f>B37*D37</f>
        <v>1400.8</v>
      </c>
      <c r="G37" t="s">
        <v>126</v>
      </c>
      <c r="H37" s="20"/>
      <c r="I37" s="21"/>
      <c r="J37">
        <v>1401</v>
      </c>
      <c r="K37" s="94">
        <v>38.987000000000002</v>
      </c>
      <c r="L37">
        <v>0.85</v>
      </c>
      <c r="M37" s="38">
        <v>1190.8499999999999</v>
      </c>
      <c r="N37" s="27"/>
      <c r="O37" s="27">
        <f t="shared" si="10"/>
        <v>46427.668949999999</v>
      </c>
      <c r="P37" s="27"/>
      <c r="Q37" s="27"/>
      <c r="R37" s="27"/>
      <c r="S37" s="27"/>
      <c r="T37" s="18"/>
      <c r="U37">
        <v>2.3999999999999998E-3</v>
      </c>
      <c r="V37">
        <v>0.99760000000000004</v>
      </c>
      <c r="W37" s="94"/>
      <c r="X37" s="94">
        <f t="shared" si="11"/>
        <v>111.42640547999999</v>
      </c>
      <c r="Y37" s="94"/>
      <c r="Z37" s="94"/>
      <c r="AA37" s="94">
        <f t="shared" si="12"/>
        <v>46316.242544519999</v>
      </c>
      <c r="AB37" s="94"/>
      <c r="AI37" s="18"/>
      <c r="AJ37">
        <v>207</v>
      </c>
      <c r="AK37" s="34">
        <f t="shared" si="17"/>
        <v>2.363013698630137E-2</v>
      </c>
      <c r="AL37" s="34">
        <f t="shared" si="13"/>
        <v>0.97636986301369866</v>
      </c>
      <c r="AM37" s="94"/>
      <c r="AN37" s="94"/>
      <c r="AO37" s="94"/>
      <c r="AP37" s="27"/>
      <c r="AQ37" s="27"/>
      <c r="AR37" s="94">
        <f t="shared" si="14"/>
        <v>1094.4591560177671</v>
      </c>
      <c r="AS37" s="94">
        <f t="shared" si="15"/>
        <v>547.22957800888355</v>
      </c>
      <c r="AT37" s="27">
        <f t="shared" si="18"/>
        <v>45769.012966511116</v>
      </c>
      <c r="AU37" s="27"/>
      <c r="AV37" s="27"/>
      <c r="AW37" s="94"/>
      <c r="AX37" s="94"/>
      <c r="AY37" s="27"/>
      <c r="AZ37" s="27"/>
      <c r="BA37" s="27"/>
      <c r="BB37" s="18"/>
      <c r="BO37" s="117"/>
      <c r="CJ37" s="260"/>
      <c r="CK37" s="260"/>
      <c r="CL37" s="260"/>
      <c r="CM37" s="260"/>
      <c r="CN37" s="260"/>
      <c r="CO37" s="260"/>
      <c r="CP37" s="260"/>
      <c r="DX37" s="38"/>
      <c r="DY37" s="38"/>
      <c r="DZ37" s="38"/>
      <c r="EA37" s="38"/>
      <c r="EB37" s="38"/>
      <c r="EC37" s="38"/>
      <c r="ED37" s="38"/>
      <c r="EE37" s="38"/>
      <c r="EF37" s="38"/>
      <c r="EG37" s="38"/>
      <c r="EH37" s="38"/>
      <c r="EI37" s="38"/>
      <c r="EJ37" s="38"/>
      <c r="EK37" s="38"/>
      <c r="EL37" s="38"/>
      <c r="EM37" s="38"/>
      <c r="EN37" s="38"/>
      <c r="EO37" s="38"/>
      <c r="EP37" s="38"/>
      <c r="EQ37" s="38"/>
      <c r="ER37" s="38"/>
      <c r="ES37" s="38"/>
      <c r="ET37" s="38"/>
    </row>
    <row r="38" spans="1:150" x14ac:dyDescent="0.2">
      <c r="A38" s="3" t="s">
        <v>60</v>
      </c>
      <c r="B38">
        <v>1503</v>
      </c>
      <c r="C38">
        <v>3031</v>
      </c>
      <c r="D38">
        <v>0.21</v>
      </c>
      <c r="F38" s="2">
        <f>B38*D38</f>
        <v>315.63</v>
      </c>
      <c r="G38" t="s">
        <v>16</v>
      </c>
      <c r="H38" s="20"/>
      <c r="I38" s="21"/>
      <c r="J38">
        <v>316</v>
      </c>
      <c r="K38" s="94">
        <v>38.987000000000002</v>
      </c>
      <c r="L38">
        <v>0.21</v>
      </c>
      <c r="M38" s="38">
        <v>66.36</v>
      </c>
      <c r="N38" s="27"/>
      <c r="O38" s="27">
        <f t="shared" si="10"/>
        <v>2587.1773199999998</v>
      </c>
      <c r="P38" s="27"/>
      <c r="Q38" s="27"/>
      <c r="R38" s="27"/>
      <c r="S38" s="27"/>
      <c r="T38" s="18"/>
      <c r="U38">
        <v>2.3999999999999998E-3</v>
      </c>
      <c r="V38">
        <v>0.99760000000000004</v>
      </c>
      <c r="W38" s="94"/>
      <c r="X38" s="94">
        <f t="shared" si="11"/>
        <v>6.209225567999999</v>
      </c>
      <c r="Y38" s="94"/>
      <c r="Z38" s="94"/>
      <c r="AA38" s="94">
        <f t="shared" si="12"/>
        <v>2580.9680944319998</v>
      </c>
      <c r="AB38" s="94"/>
      <c r="AI38" s="18"/>
      <c r="AJ38">
        <v>315</v>
      </c>
      <c r="AK38" s="34">
        <f t="shared" si="17"/>
        <v>3.5958904109589039E-2</v>
      </c>
      <c r="AL38" s="34">
        <f t="shared" si="13"/>
        <v>0.96404109589041098</v>
      </c>
      <c r="AM38" s="94"/>
      <c r="AN38" s="94"/>
      <c r="AO38" s="94"/>
      <c r="AP38" s="27"/>
      <c r="AQ38" s="27"/>
      <c r="AR38" s="94">
        <f t="shared" si="14"/>
        <v>92.808784217589036</v>
      </c>
      <c r="AS38" s="94">
        <f t="shared" si="15"/>
        <v>46.404392108794518</v>
      </c>
      <c r="AT38" s="27">
        <f t="shared" si="18"/>
        <v>2534.5637023232052</v>
      </c>
      <c r="AU38" s="27"/>
      <c r="AV38" s="27"/>
      <c r="AW38" s="94"/>
      <c r="AX38" s="94"/>
      <c r="AY38" s="27"/>
      <c r="AZ38" s="27"/>
      <c r="BA38" s="27"/>
      <c r="BB38" s="18"/>
      <c r="BO38" s="117"/>
      <c r="DX38" s="38"/>
      <c r="DY38" s="38"/>
      <c r="DZ38" s="38"/>
      <c r="EA38" s="38"/>
      <c r="EB38" s="38"/>
      <c r="EC38" s="38"/>
      <c r="ED38" s="38"/>
      <c r="EE38" s="38"/>
      <c r="EF38" s="38"/>
      <c r="EG38" s="38"/>
      <c r="EH38" s="38"/>
      <c r="EI38" s="38"/>
      <c r="EJ38" s="38"/>
      <c r="EK38" s="38"/>
      <c r="EL38" s="38"/>
      <c r="EM38" s="38"/>
      <c r="EN38" s="38"/>
      <c r="EO38" s="38"/>
      <c r="EP38" s="38"/>
      <c r="EQ38" s="38"/>
      <c r="ER38" s="38"/>
      <c r="ES38" s="38"/>
      <c r="ET38" s="38"/>
    </row>
    <row r="39" spans="1:150" x14ac:dyDescent="0.2">
      <c r="A39" s="3" t="s">
        <v>61</v>
      </c>
      <c r="B39">
        <v>1913</v>
      </c>
      <c r="C39">
        <v>1266</v>
      </c>
      <c r="D39">
        <v>3.65</v>
      </c>
      <c r="E39">
        <v>1.59</v>
      </c>
      <c r="F39" s="2">
        <f t="shared" ref="F39:F50" si="19">B39*E39</f>
        <v>3041.67</v>
      </c>
      <c r="G39" t="s">
        <v>11</v>
      </c>
      <c r="H39" s="20"/>
      <c r="I39" s="21"/>
      <c r="J39">
        <v>3042</v>
      </c>
      <c r="K39" s="94">
        <v>38.987000000000002</v>
      </c>
      <c r="L39">
        <v>1.59</v>
      </c>
      <c r="M39" s="38">
        <v>4836.78</v>
      </c>
      <c r="N39" s="27"/>
      <c r="O39" s="27">
        <f t="shared" si="10"/>
        <v>188571.54186000003</v>
      </c>
      <c r="P39" s="27"/>
      <c r="Q39" s="27"/>
      <c r="R39" s="27"/>
      <c r="S39" s="27"/>
      <c r="T39" s="18"/>
      <c r="U39">
        <v>2.3999999999999998E-3</v>
      </c>
      <c r="V39">
        <v>0.99760000000000004</v>
      </c>
      <c r="W39" s="94"/>
      <c r="X39" s="94">
        <f t="shared" si="11"/>
        <v>452.571700464</v>
      </c>
      <c r="Y39" s="94"/>
      <c r="Z39" s="94"/>
      <c r="AA39" s="94">
        <f t="shared" si="12"/>
        <v>188118.97015953602</v>
      </c>
      <c r="AB39" s="94"/>
      <c r="AI39" s="18"/>
      <c r="AJ39">
        <v>114</v>
      </c>
      <c r="AK39" s="34">
        <f t="shared" si="17"/>
        <v>1.3013698630136987E-2</v>
      </c>
      <c r="AL39" s="34">
        <f t="shared" si="13"/>
        <v>0.98698630136986298</v>
      </c>
      <c r="AM39" s="94"/>
      <c r="AN39" s="94"/>
      <c r="AO39" s="94"/>
      <c r="AP39" s="27"/>
      <c r="AQ39" s="27"/>
      <c r="AR39" s="94">
        <f t="shared" si="14"/>
        <v>2448.1235842679348</v>
      </c>
      <c r="AS39" s="94">
        <f t="shared" si="15"/>
        <v>1224.0617921339674</v>
      </c>
      <c r="AT39" s="27">
        <f t="shared" si="18"/>
        <v>186894.90836740204</v>
      </c>
      <c r="AU39" s="27"/>
      <c r="AV39" s="27"/>
      <c r="AW39" s="94"/>
      <c r="AX39" s="94"/>
      <c r="AY39" s="27"/>
      <c r="AZ39" s="27"/>
      <c r="BA39" s="27"/>
      <c r="BB39" s="18"/>
      <c r="BO39" s="117"/>
      <c r="DX39" s="38"/>
      <c r="DY39" s="38"/>
      <c r="DZ39" s="38"/>
      <c r="EA39" s="38"/>
      <c r="EB39" s="38"/>
      <c r="EC39" s="38"/>
      <c r="ED39" s="38"/>
      <c r="EE39" s="38"/>
      <c r="EF39" s="38"/>
      <c r="EG39" s="38"/>
      <c r="EH39" s="38"/>
      <c r="EI39" s="38"/>
      <c r="EJ39" s="38"/>
      <c r="EK39" s="38"/>
      <c r="EL39" s="38"/>
      <c r="EM39" s="38"/>
      <c r="EN39" s="38"/>
      <c r="EO39" s="38"/>
      <c r="EP39" s="38"/>
      <c r="EQ39" s="38"/>
      <c r="ER39" s="38"/>
      <c r="ES39" s="38"/>
      <c r="ET39" s="38"/>
    </row>
    <row r="40" spans="1:150" x14ac:dyDescent="0.2">
      <c r="A40" s="3" t="s">
        <v>62</v>
      </c>
      <c r="B40">
        <v>1890</v>
      </c>
      <c r="C40">
        <v>1398</v>
      </c>
      <c r="D40">
        <v>0.62</v>
      </c>
      <c r="E40">
        <v>0.55000000000000004</v>
      </c>
      <c r="F40" s="2">
        <f t="shared" si="19"/>
        <v>1039.5</v>
      </c>
      <c r="G40" t="s">
        <v>11</v>
      </c>
      <c r="H40" s="20"/>
      <c r="I40" s="21"/>
      <c r="J40">
        <v>1040</v>
      </c>
      <c r="K40" s="94">
        <v>38.987000000000002</v>
      </c>
      <c r="L40">
        <v>0.55000000000000004</v>
      </c>
      <c r="M40" s="38">
        <v>572</v>
      </c>
      <c r="N40" s="27"/>
      <c r="O40" s="27">
        <f t="shared" si="10"/>
        <v>22300.564000000002</v>
      </c>
      <c r="P40" s="27"/>
      <c r="Q40" s="27"/>
      <c r="R40" s="27"/>
      <c r="S40" s="27"/>
      <c r="T40" s="18"/>
      <c r="U40">
        <v>2.3999999999999998E-3</v>
      </c>
      <c r="V40">
        <v>0.99760000000000004</v>
      </c>
      <c r="W40" s="94"/>
      <c r="X40" s="94">
        <f t="shared" si="11"/>
        <v>53.521353599999998</v>
      </c>
      <c r="Y40" s="94"/>
      <c r="Z40" s="94"/>
      <c r="AA40" s="94">
        <f t="shared" si="12"/>
        <v>22247.042646400005</v>
      </c>
      <c r="AB40" s="94"/>
      <c r="AI40" s="18"/>
      <c r="AJ40">
        <v>147</v>
      </c>
      <c r="AK40" s="34">
        <f t="shared" si="17"/>
        <v>1.678082191780822E-2</v>
      </c>
      <c r="AL40" s="34">
        <f t="shared" si="13"/>
        <v>0.98321917808219172</v>
      </c>
      <c r="AM40" s="94"/>
      <c r="AN40" s="94"/>
      <c r="AO40" s="94"/>
      <c r="AP40" s="27"/>
      <c r="AQ40" s="27"/>
      <c r="AR40" s="94">
        <f t="shared" si="14"/>
        <v>373.32366084712339</v>
      </c>
      <c r="AS40" s="94">
        <f t="shared" si="15"/>
        <v>186.6618304235617</v>
      </c>
      <c r="AT40" s="27">
        <f t="shared" si="18"/>
        <v>22060.380815976445</v>
      </c>
      <c r="AU40" s="27"/>
      <c r="AV40" s="27"/>
      <c r="AW40" s="94"/>
      <c r="AX40" s="94"/>
      <c r="AY40" s="27"/>
      <c r="AZ40" s="27"/>
      <c r="BA40" s="27"/>
      <c r="BB40" s="18"/>
      <c r="BO40" s="117"/>
      <c r="DX40" s="38"/>
      <c r="DY40" s="38"/>
      <c r="DZ40" s="38"/>
      <c r="EA40" s="38"/>
      <c r="EB40" s="38"/>
      <c r="EC40" s="38"/>
      <c r="ED40" s="38"/>
      <c r="EE40" s="38"/>
      <c r="EF40" s="38"/>
      <c r="EG40" s="38"/>
      <c r="EH40" s="38"/>
      <c r="EI40" s="38"/>
      <c r="EJ40" s="38"/>
      <c r="EK40" s="38"/>
      <c r="EL40" s="38"/>
      <c r="EM40" s="38"/>
      <c r="EN40" s="38"/>
      <c r="EO40" s="38"/>
      <c r="EP40" s="38"/>
      <c r="EQ40" s="38"/>
      <c r="ER40" s="38"/>
      <c r="ES40" s="38"/>
      <c r="ET40" s="38"/>
    </row>
    <row r="41" spans="1:150" x14ac:dyDescent="0.2">
      <c r="A41" s="3" t="s">
        <v>63</v>
      </c>
      <c r="B41">
        <v>1776</v>
      </c>
      <c r="C41">
        <v>1568</v>
      </c>
      <c r="D41">
        <v>2.66</v>
      </c>
      <c r="E41">
        <v>1.78</v>
      </c>
      <c r="F41" s="2">
        <f t="shared" si="19"/>
        <v>3161.28</v>
      </c>
      <c r="G41" t="s">
        <v>11</v>
      </c>
      <c r="H41" s="20"/>
      <c r="I41" s="21"/>
      <c r="J41">
        <v>3161</v>
      </c>
      <c r="K41" s="94">
        <v>38.987000000000002</v>
      </c>
      <c r="L41">
        <v>1.78</v>
      </c>
      <c r="M41" s="38">
        <v>5626.58</v>
      </c>
      <c r="N41" s="27"/>
      <c r="O41" s="27">
        <f t="shared" si="10"/>
        <v>219363.47446000003</v>
      </c>
      <c r="P41" s="27"/>
      <c r="Q41" s="27"/>
      <c r="R41" s="27"/>
      <c r="S41" s="27"/>
      <c r="T41" s="18"/>
      <c r="U41">
        <v>2.3999999999999998E-3</v>
      </c>
      <c r="V41">
        <v>0.99760000000000004</v>
      </c>
      <c r="W41" s="94"/>
      <c r="X41" s="94">
        <f t="shared" si="11"/>
        <v>526.47233870399998</v>
      </c>
      <c r="Y41" s="94"/>
      <c r="Z41" s="94"/>
      <c r="AA41" s="94">
        <f t="shared" si="12"/>
        <v>218837.00212129604</v>
      </c>
      <c r="AB41" s="94"/>
      <c r="AI41" s="18"/>
      <c r="AJ41">
        <v>8</v>
      </c>
      <c r="AK41" s="34">
        <f t="shared" si="17"/>
        <v>9.1324200913242006E-4</v>
      </c>
      <c r="AL41" s="34">
        <f t="shared" si="13"/>
        <v>0.99908675799086755</v>
      </c>
      <c r="AM41" s="94"/>
      <c r="AN41" s="94"/>
      <c r="AO41" s="94"/>
      <c r="AP41" s="27"/>
      <c r="AQ41" s="27"/>
      <c r="AR41" s="94">
        <f t="shared" si="14"/>
        <v>199.85114348976808</v>
      </c>
      <c r="AS41" s="94">
        <f t="shared" si="15"/>
        <v>99.925571744884039</v>
      </c>
      <c r="AT41" s="27">
        <f t="shared" si="18"/>
        <v>218737.07654955116</v>
      </c>
      <c r="AU41" s="27"/>
      <c r="AV41" s="27"/>
      <c r="AW41" s="94"/>
      <c r="AX41" s="94"/>
      <c r="AY41" s="27"/>
      <c r="AZ41" s="27"/>
      <c r="BA41" s="27"/>
      <c r="BB41" s="18"/>
      <c r="BO41" s="117"/>
      <c r="DX41" s="38"/>
      <c r="DY41" s="38"/>
      <c r="DZ41" s="38"/>
      <c r="EA41" s="38"/>
      <c r="EB41" s="38"/>
      <c r="EC41" s="38"/>
      <c r="ED41" s="38"/>
      <c r="EE41" s="38"/>
      <c r="EF41" s="38"/>
      <c r="EG41" s="38"/>
      <c r="EH41" s="38"/>
      <c r="EI41" s="38"/>
      <c r="EJ41" s="38"/>
      <c r="EK41" s="38"/>
      <c r="EL41" s="38"/>
      <c r="EM41" s="38"/>
      <c r="EN41" s="38"/>
      <c r="EO41" s="38"/>
      <c r="EP41" s="38"/>
      <c r="EQ41" s="38"/>
      <c r="ER41" s="38"/>
      <c r="ES41" s="38"/>
      <c r="ET41" s="38"/>
    </row>
    <row r="42" spans="1:150" x14ac:dyDescent="0.2">
      <c r="A42" s="3" t="s">
        <v>64</v>
      </c>
      <c r="B42">
        <v>1755</v>
      </c>
      <c r="C42">
        <v>4018</v>
      </c>
      <c r="D42">
        <v>1.21</v>
      </c>
      <c r="E42">
        <v>1</v>
      </c>
      <c r="F42" s="2">
        <f t="shared" si="19"/>
        <v>1755</v>
      </c>
      <c r="G42" t="s">
        <v>11</v>
      </c>
      <c r="H42" s="20"/>
      <c r="I42" s="21"/>
      <c r="J42">
        <v>1755</v>
      </c>
      <c r="K42" s="94">
        <v>38.987000000000002</v>
      </c>
      <c r="L42">
        <v>1</v>
      </c>
      <c r="M42" s="38">
        <v>1755</v>
      </c>
      <c r="N42" s="27"/>
      <c r="O42" s="27">
        <f t="shared" si="10"/>
        <v>68422.184999999998</v>
      </c>
      <c r="P42" s="27"/>
      <c r="Q42" s="27"/>
      <c r="R42" s="27"/>
      <c r="S42" s="27"/>
      <c r="T42" s="18"/>
      <c r="U42">
        <v>2.3999999999999998E-3</v>
      </c>
      <c r="V42">
        <v>0.99760000000000004</v>
      </c>
      <c r="W42" s="94"/>
      <c r="X42" s="94">
        <f t="shared" si="11"/>
        <v>164.21324399999997</v>
      </c>
      <c r="Y42" s="94"/>
      <c r="Z42" s="94"/>
      <c r="AA42" s="94">
        <f t="shared" si="12"/>
        <v>68257.971755999999</v>
      </c>
      <c r="AB42" s="94"/>
      <c r="AI42" s="18"/>
      <c r="AJ42">
        <v>158</v>
      </c>
      <c r="AK42" s="34">
        <f t="shared" si="17"/>
        <v>1.8036529680365298E-2</v>
      </c>
      <c r="AL42" s="34">
        <f t="shared" si="13"/>
        <v>0.98196347031963471</v>
      </c>
      <c r="AM42" s="94"/>
      <c r="AN42" s="94"/>
      <c r="AO42" s="94"/>
      <c r="AP42" s="27"/>
      <c r="AQ42" s="27"/>
      <c r="AR42" s="94">
        <f t="shared" si="14"/>
        <v>1231.1369334986302</v>
      </c>
      <c r="AS42" s="94">
        <f t="shared" si="15"/>
        <v>615.56846674931512</v>
      </c>
      <c r="AT42" s="27">
        <f t="shared" si="18"/>
        <v>67642.403289250695</v>
      </c>
      <c r="AU42" s="27"/>
      <c r="AV42" s="27"/>
      <c r="AW42" s="94"/>
      <c r="AX42" s="94"/>
      <c r="AY42" s="27"/>
      <c r="AZ42" s="27"/>
      <c r="BA42" s="27"/>
      <c r="BB42" s="18"/>
      <c r="BO42" s="117"/>
      <c r="DX42" s="38"/>
      <c r="DY42" s="38"/>
      <c r="DZ42" s="38"/>
      <c r="EA42" s="38"/>
      <c r="EB42" s="38"/>
      <c r="EC42" s="38"/>
      <c r="ED42" s="38"/>
      <c r="EE42" s="38"/>
      <c r="EF42" s="38"/>
      <c r="EG42" s="38"/>
      <c r="EH42" s="38"/>
      <c r="EI42" s="38"/>
      <c r="EJ42" s="38"/>
      <c r="EK42" s="38"/>
      <c r="EL42" s="38"/>
      <c r="EM42" s="38"/>
      <c r="EN42" s="38"/>
      <c r="EO42" s="38"/>
      <c r="EP42" s="38"/>
      <c r="EQ42" s="38"/>
      <c r="ER42" s="38"/>
      <c r="ES42" s="38"/>
      <c r="ET42" s="38"/>
    </row>
    <row r="43" spans="1:150" x14ac:dyDescent="0.2">
      <c r="A43" s="3" t="s">
        <v>65</v>
      </c>
      <c r="B43">
        <v>1894</v>
      </c>
      <c r="C43">
        <v>4029</v>
      </c>
      <c r="D43">
        <v>2.13</v>
      </c>
      <c r="E43">
        <v>1.1599999999999999</v>
      </c>
      <c r="F43" s="2">
        <f t="shared" si="19"/>
        <v>2197.04</v>
      </c>
      <c r="G43" t="s">
        <v>11</v>
      </c>
      <c r="H43" s="20"/>
      <c r="I43" s="21"/>
      <c r="J43">
        <v>2197</v>
      </c>
      <c r="K43" s="94">
        <v>38.987000000000002</v>
      </c>
      <c r="L43">
        <v>1.1599999999999999</v>
      </c>
      <c r="M43" s="38">
        <v>2548.52</v>
      </c>
      <c r="N43" s="27"/>
      <c r="O43" s="27">
        <f t="shared" si="10"/>
        <v>99359.149239999984</v>
      </c>
      <c r="P43" s="27"/>
      <c r="Q43" s="27"/>
      <c r="R43" s="27"/>
      <c r="S43" s="27"/>
      <c r="T43" s="18"/>
      <c r="U43">
        <v>2.3999999999999998E-3</v>
      </c>
      <c r="V43">
        <v>0.99760000000000004</v>
      </c>
      <c r="W43" s="94"/>
      <c r="X43" s="94">
        <f t="shared" si="11"/>
        <v>238.46195817599994</v>
      </c>
      <c r="Y43" s="94"/>
      <c r="Z43" s="94"/>
      <c r="AA43" s="94">
        <f t="shared" si="12"/>
        <v>99120.687281823994</v>
      </c>
      <c r="AB43" s="94"/>
      <c r="AI43" s="18"/>
      <c r="AJ43">
        <v>584</v>
      </c>
      <c r="AK43" s="34">
        <f t="shared" si="17"/>
        <v>6.6666666666666666E-2</v>
      </c>
      <c r="AL43" s="34">
        <f t="shared" si="13"/>
        <v>0.93333333333333335</v>
      </c>
      <c r="AM43" s="94"/>
      <c r="AN43" s="94"/>
      <c r="AO43" s="94"/>
      <c r="AP43" s="27"/>
      <c r="AQ43" s="27"/>
      <c r="AR43" s="94">
        <f t="shared" si="14"/>
        <v>6608.0458187882659</v>
      </c>
      <c r="AS43" s="94">
        <f t="shared" si="15"/>
        <v>3304.022909394133</v>
      </c>
      <c r="AT43" s="27">
        <f t="shared" si="18"/>
        <v>95816.664372429863</v>
      </c>
      <c r="AU43" s="27"/>
      <c r="AV43" s="27"/>
      <c r="AW43" s="94"/>
      <c r="AX43" s="94"/>
      <c r="AY43" s="27"/>
      <c r="AZ43" s="27"/>
      <c r="BA43" s="27"/>
      <c r="BB43" s="18"/>
      <c r="BO43" s="117"/>
      <c r="DX43" s="38"/>
      <c r="DY43" s="38"/>
      <c r="DZ43" s="38"/>
      <c r="EA43" s="38"/>
      <c r="EB43" s="38"/>
      <c r="EC43" s="38"/>
      <c r="ED43" s="38"/>
      <c r="EE43" s="38"/>
      <c r="EF43" s="38"/>
      <c r="EG43" s="38"/>
      <c r="EH43" s="38"/>
      <c r="EI43" s="38"/>
      <c r="EJ43" s="38"/>
      <c r="EK43" s="38"/>
      <c r="EL43" s="38"/>
      <c r="EM43" s="38"/>
      <c r="EN43" s="38"/>
      <c r="EO43" s="38"/>
      <c r="EP43" s="38"/>
      <c r="EQ43" s="38"/>
      <c r="ER43" s="38"/>
      <c r="ES43" s="38"/>
      <c r="ET43" s="38"/>
    </row>
    <row r="44" spans="1:150" x14ac:dyDescent="0.2">
      <c r="A44" s="3" t="s">
        <v>66</v>
      </c>
      <c r="B44">
        <v>1656</v>
      </c>
      <c r="C44">
        <v>957</v>
      </c>
      <c r="D44">
        <v>2.15</v>
      </c>
      <c r="E44">
        <v>1</v>
      </c>
      <c r="F44" s="2">
        <f t="shared" si="19"/>
        <v>1656</v>
      </c>
      <c r="G44" t="s">
        <v>11</v>
      </c>
      <c r="H44" s="20"/>
      <c r="I44" s="21"/>
      <c r="J44">
        <v>1656</v>
      </c>
      <c r="K44" s="94">
        <v>38.987000000000002</v>
      </c>
      <c r="L44">
        <v>1</v>
      </c>
      <c r="M44" s="38">
        <v>1656</v>
      </c>
      <c r="N44" s="27"/>
      <c r="O44" s="27">
        <f t="shared" si="10"/>
        <v>64562.472000000002</v>
      </c>
      <c r="P44" s="27"/>
      <c r="Q44" s="27"/>
      <c r="R44" s="27"/>
      <c r="S44" s="27"/>
      <c r="T44" s="18"/>
      <c r="U44">
        <v>2.3999999999999998E-3</v>
      </c>
      <c r="V44">
        <v>0.99760000000000004</v>
      </c>
      <c r="W44" s="94"/>
      <c r="X44" s="94">
        <f t="shared" si="11"/>
        <v>154.9499328</v>
      </c>
      <c r="Y44" s="94"/>
      <c r="Z44" s="94"/>
      <c r="AA44" s="94">
        <f t="shared" si="12"/>
        <v>64407.522067200007</v>
      </c>
      <c r="AB44" s="94"/>
      <c r="AI44" s="18"/>
      <c r="AJ44">
        <v>0</v>
      </c>
      <c r="AK44" s="34">
        <f t="shared" si="17"/>
        <v>0</v>
      </c>
      <c r="AL44" s="34">
        <f t="shared" si="13"/>
        <v>1</v>
      </c>
      <c r="AM44" s="94"/>
      <c r="AN44" s="94"/>
      <c r="AO44" s="94"/>
      <c r="AP44" s="27"/>
      <c r="AQ44" s="27"/>
      <c r="AR44" s="94">
        <f t="shared" si="14"/>
        <v>0</v>
      </c>
      <c r="AS44" s="94">
        <f t="shared" si="15"/>
        <v>0</v>
      </c>
      <c r="AT44" s="27">
        <f t="shared" si="18"/>
        <v>64407.522067200007</v>
      </c>
      <c r="AU44" s="27"/>
      <c r="AV44" s="27"/>
      <c r="AW44" s="94"/>
      <c r="AX44" s="94"/>
      <c r="AY44" s="27"/>
      <c r="AZ44" s="27"/>
      <c r="BA44" s="27"/>
      <c r="BB44" s="18"/>
      <c r="BO44" s="117"/>
      <c r="DX44" s="38"/>
      <c r="DY44" s="38"/>
      <c r="DZ44" s="38"/>
      <c r="EA44" s="38"/>
      <c r="EB44" s="38"/>
      <c r="EC44" s="38"/>
      <c r="ED44" s="38"/>
      <c r="EE44" s="38"/>
      <c r="EF44" s="38"/>
      <c r="EG44" s="38"/>
      <c r="EH44" s="38"/>
      <c r="EI44" s="38"/>
      <c r="EJ44" s="38"/>
      <c r="EK44" s="38"/>
      <c r="EL44" s="38"/>
      <c r="EM44" s="38"/>
      <c r="EN44" s="38"/>
      <c r="EO44" s="38"/>
      <c r="EP44" s="38"/>
      <c r="EQ44" s="38"/>
      <c r="ER44" s="38"/>
      <c r="ES44" s="38"/>
      <c r="ET44" s="38"/>
    </row>
    <row r="45" spans="1:150" x14ac:dyDescent="0.2">
      <c r="A45" s="3" t="s">
        <v>67</v>
      </c>
      <c r="B45">
        <v>1299</v>
      </c>
      <c r="C45">
        <v>6774</v>
      </c>
      <c r="D45">
        <v>0.09</v>
      </c>
      <c r="E45">
        <v>0.13</v>
      </c>
      <c r="F45" s="2">
        <f t="shared" si="19"/>
        <v>168.87</v>
      </c>
      <c r="G45" t="s">
        <v>11</v>
      </c>
      <c r="H45" s="20"/>
      <c r="I45" s="21"/>
      <c r="J45">
        <v>169</v>
      </c>
      <c r="K45" s="94">
        <v>38.987000000000002</v>
      </c>
      <c r="L45">
        <v>0.13</v>
      </c>
      <c r="M45" s="38">
        <v>21.97</v>
      </c>
      <c r="N45" s="27"/>
      <c r="O45" s="27">
        <f t="shared" si="10"/>
        <v>856.54439000000002</v>
      </c>
      <c r="P45" s="27"/>
      <c r="Q45" s="27"/>
      <c r="R45" s="27"/>
      <c r="S45" s="27"/>
      <c r="T45" s="18"/>
      <c r="U45">
        <v>2.3999999999999998E-3</v>
      </c>
      <c r="V45">
        <v>0.99760000000000004</v>
      </c>
      <c r="W45" s="94"/>
      <c r="X45" s="94">
        <f t="shared" si="11"/>
        <v>2.0557065359999998</v>
      </c>
      <c r="Y45" s="94"/>
      <c r="Z45" s="94"/>
      <c r="AA45" s="94">
        <f t="shared" si="12"/>
        <v>854.48868346400002</v>
      </c>
      <c r="AB45" s="94"/>
      <c r="AI45" s="18"/>
      <c r="AJ45">
        <v>320</v>
      </c>
      <c r="AK45" s="34">
        <f t="shared" si="17"/>
        <v>3.6529680365296802E-2</v>
      </c>
      <c r="AL45" s="34">
        <f t="shared" si="13"/>
        <v>0.9634703196347032</v>
      </c>
      <c r="AM45" s="94"/>
      <c r="AN45" s="94"/>
      <c r="AO45" s="94"/>
      <c r="AP45" s="27"/>
      <c r="AQ45" s="27"/>
      <c r="AR45" s="94">
        <f t="shared" si="14"/>
        <v>31.214198482703196</v>
      </c>
      <c r="AS45" s="94">
        <f t="shared" si="15"/>
        <v>15.607099241351598</v>
      </c>
      <c r="AT45" s="27">
        <f t="shared" si="18"/>
        <v>838.88158422264848</v>
      </c>
      <c r="AU45" s="27"/>
      <c r="AV45" s="27"/>
      <c r="AW45" s="94"/>
      <c r="AX45" s="94"/>
      <c r="AY45" s="27"/>
      <c r="AZ45" s="27"/>
      <c r="BA45" s="27"/>
      <c r="BB45" s="18"/>
      <c r="BO45" s="117"/>
      <c r="DX45" s="38"/>
      <c r="DY45" s="38"/>
      <c r="DZ45" s="38"/>
      <c r="EA45" s="38"/>
      <c r="EB45" s="38"/>
      <c r="EC45" s="38"/>
      <c r="ED45" s="38"/>
      <c r="EE45" s="38"/>
      <c r="EF45" s="38"/>
      <c r="EG45" s="38"/>
      <c r="EH45" s="38"/>
      <c r="EI45" s="38"/>
      <c r="EJ45" s="38"/>
      <c r="EK45" s="38"/>
      <c r="EL45" s="38"/>
      <c r="EM45" s="38"/>
      <c r="EN45" s="38"/>
      <c r="EO45" s="38"/>
      <c r="EP45" s="38"/>
      <c r="EQ45" s="38"/>
      <c r="ER45" s="38"/>
      <c r="ES45" s="38"/>
      <c r="ET45" s="38"/>
    </row>
    <row r="46" spans="1:150" x14ac:dyDescent="0.2">
      <c r="A46" s="3" t="s">
        <v>68</v>
      </c>
      <c r="B46">
        <v>1300</v>
      </c>
      <c r="C46">
        <v>6063</v>
      </c>
      <c r="D46">
        <v>0.17</v>
      </c>
      <c r="E46">
        <v>0.18</v>
      </c>
      <c r="F46" s="2">
        <f t="shared" si="19"/>
        <v>234</v>
      </c>
      <c r="G46" t="s">
        <v>11</v>
      </c>
      <c r="H46" s="20"/>
      <c r="I46" s="21"/>
      <c r="J46">
        <v>234</v>
      </c>
      <c r="K46" s="94">
        <v>38.987000000000002</v>
      </c>
      <c r="L46">
        <v>0.18</v>
      </c>
      <c r="M46" s="38">
        <v>42.12</v>
      </c>
      <c r="N46" s="27"/>
      <c r="O46" s="27">
        <f t="shared" si="10"/>
        <v>1642.1324400000001</v>
      </c>
      <c r="P46" s="27"/>
      <c r="Q46" s="27"/>
      <c r="R46" s="27"/>
      <c r="S46" s="27"/>
      <c r="T46" s="18"/>
      <c r="U46">
        <v>2.3999999999999998E-3</v>
      </c>
      <c r="V46">
        <v>0.99760000000000004</v>
      </c>
      <c r="W46" s="94"/>
      <c r="X46" s="94">
        <f t="shared" si="11"/>
        <v>3.941117856</v>
      </c>
      <c r="Y46" s="94"/>
      <c r="Z46" s="94"/>
      <c r="AA46" s="94">
        <f t="shared" si="12"/>
        <v>1638.1913221440002</v>
      </c>
      <c r="AB46" s="94"/>
      <c r="AI46" s="18"/>
      <c r="AJ46">
        <v>2</v>
      </c>
      <c r="AK46" s="34">
        <f t="shared" si="17"/>
        <v>2.2831050228310502E-4</v>
      </c>
      <c r="AL46" s="34">
        <f t="shared" si="13"/>
        <v>0.99977168949771689</v>
      </c>
      <c r="AM46" s="94"/>
      <c r="AN46" s="94"/>
      <c r="AO46" s="94"/>
      <c r="AP46" s="27"/>
      <c r="AQ46" s="27"/>
      <c r="AR46" s="94">
        <f t="shared" si="14"/>
        <v>0.3740162835945206</v>
      </c>
      <c r="AS46" s="94">
        <f t="shared" si="15"/>
        <v>0.1870081417972603</v>
      </c>
      <c r="AT46" s="27">
        <f t="shared" si="18"/>
        <v>1638.0043140022028</v>
      </c>
      <c r="AU46" s="27"/>
      <c r="AV46" s="27"/>
      <c r="AW46" s="94"/>
      <c r="AX46" s="94"/>
      <c r="AY46" s="27"/>
      <c r="AZ46" s="27"/>
      <c r="BA46" s="27"/>
      <c r="BB46" s="18"/>
      <c r="BO46" s="117"/>
      <c r="DX46" s="38"/>
      <c r="DY46" s="38"/>
      <c r="DZ46" s="38"/>
      <c r="EA46" s="38"/>
      <c r="EB46" s="38"/>
      <c r="EC46" s="38"/>
      <c r="ED46" s="38"/>
      <c r="EE46" s="38"/>
      <c r="EF46" s="38"/>
      <c r="EG46" s="38"/>
      <c r="EH46" s="38"/>
      <c r="EI46" s="38"/>
      <c r="EJ46" s="38"/>
      <c r="EK46" s="38"/>
      <c r="EL46" s="38"/>
      <c r="EM46" s="38"/>
      <c r="EN46" s="38"/>
      <c r="EO46" s="38"/>
      <c r="EP46" s="38"/>
      <c r="EQ46" s="38"/>
      <c r="ER46" s="38"/>
      <c r="ES46" s="38"/>
      <c r="ET46" s="38"/>
    </row>
    <row r="47" spans="1:150" x14ac:dyDescent="0.2">
      <c r="A47" s="3" t="s">
        <v>69</v>
      </c>
      <c r="B47">
        <v>1811</v>
      </c>
      <c r="C47">
        <v>1137</v>
      </c>
      <c r="D47">
        <v>0.16</v>
      </c>
      <c r="E47">
        <v>0.4</v>
      </c>
      <c r="F47" s="2">
        <f t="shared" si="19"/>
        <v>724.40000000000009</v>
      </c>
      <c r="G47" t="s">
        <v>11</v>
      </c>
      <c r="H47" s="20"/>
      <c r="I47" s="21"/>
      <c r="J47">
        <v>724</v>
      </c>
      <c r="K47" s="94">
        <v>38.987000000000002</v>
      </c>
      <c r="L47">
        <v>0.4</v>
      </c>
      <c r="M47" s="38">
        <v>289.60000000000002</v>
      </c>
      <c r="N47" s="27"/>
      <c r="O47" s="27">
        <f t="shared" si="10"/>
        <v>11290.635200000001</v>
      </c>
      <c r="P47" s="27"/>
      <c r="Q47" s="27"/>
      <c r="R47" s="27"/>
      <c r="S47" s="27"/>
      <c r="T47" s="18"/>
      <c r="U47">
        <v>2.3999999999999998E-3</v>
      </c>
      <c r="V47">
        <v>0.99760000000000004</v>
      </c>
      <c r="W47" s="94"/>
      <c r="X47" s="94">
        <f t="shared" si="11"/>
        <v>27.097524480000001</v>
      </c>
      <c r="Y47" s="94"/>
      <c r="Z47" s="94"/>
      <c r="AA47" s="94">
        <f t="shared" si="12"/>
        <v>11263.537675520001</v>
      </c>
      <c r="AB47" s="94"/>
      <c r="AI47" s="18"/>
      <c r="AJ47">
        <v>0</v>
      </c>
      <c r="AK47" s="34">
        <f t="shared" si="17"/>
        <v>0</v>
      </c>
      <c r="AL47" s="34">
        <f t="shared" si="13"/>
        <v>1</v>
      </c>
      <c r="AM47" s="94"/>
      <c r="AN47" s="94"/>
      <c r="AO47" s="94"/>
      <c r="AP47" s="27"/>
      <c r="AQ47" s="27"/>
      <c r="AR47" s="94">
        <f t="shared" si="14"/>
        <v>0</v>
      </c>
      <c r="AS47" s="94">
        <f t="shared" si="15"/>
        <v>0</v>
      </c>
      <c r="AT47" s="27">
        <f t="shared" si="18"/>
        <v>11263.537675520001</v>
      </c>
      <c r="AU47" s="27"/>
      <c r="AV47" s="27"/>
      <c r="AW47" s="94"/>
      <c r="AX47" s="94"/>
      <c r="AY47" s="27"/>
      <c r="AZ47" s="27"/>
      <c r="BA47" s="27"/>
      <c r="BB47" s="18"/>
      <c r="BO47" s="117"/>
      <c r="DX47" s="38"/>
      <c r="DY47" s="38"/>
      <c r="DZ47" s="38"/>
      <c r="EA47" s="38"/>
      <c r="EB47" s="38"/>
      <c r="EC47" s="38"/>
      <c r="ED47" s="38"/>
      <c r="EE47" s="38"/>
      <c r="EF47" s="38"/>
      <c r="EG47" s="38"/>
      <c r="EH47" s="38"/>
      <c r="EI47" s="38"/>
      <c r="EJ47" s="38"/>
      <c r="EK47" s="38"/>
      <c r="EL47" s="38"/>
      <c r="EM47" s="38"/>
      <c r="EN47" s="38"/>
      <c r="EO47" s="38"/>
      <c r="EP47" s="38"/>
      <c r="EQ47" s="38"/>
      <c r="ER47" s="38"/>
      <c r="ES47" s="38"/>
      <c r="ET47" s="38"/>
    </row>
    <row r="48" spans="1:150" x14ac:dyDescent="0.2">
      <c r="A48" s="3" t="s">
        <v>70</v>
      </c>
      <c r="B48">
        <v>1685</v>
      </c>
      <c r="C48">
        <v>1450</v>
      </c>
      <c r="D48">
        <v>0.06</v>
      </c>
      <c r="E48">
        <v>0.1</v>
      </c>
      <c r="F48" s="2">
        <f t="shared" si="19"/>
        <v>168.5</v>
      </c>
      <c r="G48" t="s">
        <v>11</v>
      </c>
      <c r="H48" s="20"/>
      <c r="I48" s="21"/>
      <c r="J48">
        <v>169</v>
      </c>
      <c r="K48" s="94">
        <v>38.987000000000002</v>
      </c>
      <c r="L48">
        <v>0.1</v>
      </c>
      <c r="M48" s="38">
        <v>16.899999999999999</v>
      </c>
      <c r="N48" s="27"/>
      <c r="O48" s="27">
        <f t="shared" si="10"/>
        <v>658.88030000000003</v>
      </c>
      <c r="P48" s="27"/>
      <c r="Q48" s="27"/>
      <c r="R48" s="27"/>
      <c r="S48" s="27"/>
      <c r="T48" s="18"/>
      <c r="U48">
        <v>2.3999999999999998E-3</v>
      </c>
      <c r="V48">
        <v>0.99760000000000004</v>
      </c>
      <c r="W48" s="94"/>
      <c r="X48" s="94">
        <f t="shared" si="11"/>
        <v>1.5813127199999999</v>
      </c>
      <c r="Y48" s="94"/>
      <c r="Z48" s="94"/>
      <c r="AA48" s="94">
        <f t="shared" si="12"/>
        <v>657.29898728000001</v>
      </c>
      <c r="AB48" s="94"/>
      <c r="AI48" s="18"/>
      <c r="AJ48">
        <v>0</v>
      </c>
      <c r="AK48" s="34">
        <f t="shared" si="17"/>
        <v>0</v>
      </c>
      <c r="AL48" s="34">
        <f t="shared" si="13"/>
        <v>1</v>
      </c>
      <c r="AM48" s="94"/>
      <c r="AN48" s="94"/>
      <c r="AO48" s="94"/>
      <c r="AP48" s="27"/>
      <c r="AQ48" s="27"/>
      <c r="AR48" s="94">
        <f t="shared" si="14"/>
        <v>0</v>
      </c>
      <c r="AS48" s="94">
        <f t="shared" si="15"/>
        <v>0</v>
      </c>
      <c r="AT48" s="27">
        <f t="shared" si="18"/>
        <v>657.29898728000001</v>
      </c>
      <c r="AU48" s="27"/>
      <c r="AV48" s="27"/>
      <c r="AW48" s="94"/>
      <c r="AX48" s="94"/>
      <c r="AY48" s="27"/>
      <c r="AZ48" s="27"/>
      <c r="BA48" s="27"/>
      <c r="BB48" s="18"/>
      <c r="BO48" s="117"/>
      <c r="DX48" s="38"/>
      <c r="DY48" s="38"/>
      <c r="DZ48" s="38"/>
      <c r="EA48" s="38"/>
      <c r="EB48" s="38"/>
      <c r="EC48" s="38"/>
      <c r="ED48" s="38"/>
      <c r="EE48" s="38"/>
      <c r="EF48" s="38"/>
      <c r="EG48" s="38"/>
      <c r="EH48" s="38"/>
      <c r="EI48" s="38"/>
      <c r="EJ48" s="38"/>
      <c r="EK48" s="38"/>
      <c r="EL48" s="38"/>
      <c r="EM48" s="38"/>
      <c r="EN48" s="38"/>
      <c r="EO48" s="38"/>
      <c r="EP48" s="38"/>
      <c r="EQ48" s="38"/>
      <c r="ER48" s="38"/>
      <c r="ES48" s="38"/>
      <c r="ET48" s="38"/>
    </row>
    <row r="49" spans="1:150" x14ac:dyDescent="0.2">
      <c r="A49" s="3" t="s">
        <v>71</v>
      </c>
      <c r="B49">
        <v>1693</v>
      </c>
      <c r="C49">
        <v>1035</v>
      </c>
      <c r="D49">
        <v>1.42</v>
      </c>
      <c r="E49">
        <v>1.1499999999999999</v>
      </c>
      <c r="F49" s="2">
        <f t="shared" si="19"/>
        <v>1946.9499999999998</v>
      </c>
      <c r="G49" t="s">
        <v>11</v>
      </c>
      <c r="H49" s="20"/>
      <c r="I49" s="269"/>
      <c r="J49" s="247">
        <v>1947</v>
      </c>
      <c r="K49" s="253">
        <v>38.987000000000002</v>
      </c>
      <c r="L49" s="247">
        <v>1.1499999999999999</v>
      </c>
      <c r="M49" s="254">
        <v>2239.0500000000002</v>
      </c>
      <c r="N49" s="255"/>
      <c r="O49" s="255">
        <f t="shared" si="10"/>
        <v>87293.842349999992</v>
      </c>
      <c r="P49" s="255"/>
      <c r="Q49" s="255"/>
      <c r="R49" s="255"/>
      <c r="S49" s="255"/>
      <c r="T49" s="21"/>
      <c r="U49">
        <v>2.3999999999999998E-3</v>
      </c>
      <c r="V49">
        <v>0.99760000000000004</v>
      </c>
      <c r="W49" s="94"/>
      <c r="X49" s="94">
        <f t="shared" si="11"/>
        <v>209.50522163999997</v>
      </c>
      <c r="Y49" s="94"/>
      <c r="Z49" s="94"/>
      <c r="AA49" s="94">
        <f t="shared" si="12"/>
        <v>87084.337128359999</v>
      </c>
      <c r="AB49" s="94"/>
      <c r="AI49" s="18"/>
      <c r="AJ49">
        <v>155</v>
      </c>
      <c r="AK49" s="34">
        <f t="shared" si="17"/>
        <v>1.7694063926940638E-2</v>
      </c>
      <c r="AL49" s="34">
        <f t="shared" si="13"/>
        <v>0.98230593607305938</v>
      </c>
      <c r="AM49" s="94"/>
      <c r="AN49" s="94"/>
      <c r="AO49" s="94"/>
      <c r="AP49" s="27"/>
      <c r="AQ49" s="27"/>
      <c r="AR49" s="94">
        <f t="shared" si="14"/>
        <v>1540.8758281844518</v>
      </c>
      <c r="AS49" s="94">
        <f t="shared" si="15"/>
        <v>770.43791409222592</v>
      </c>
      <c r="AT49" s="27">
        <f t="shared" si="18"/>
        <v>86313.899214267774</v>
      </c>
      <c r="AU49" s="27"/>
      <c r="AV49" s="27"/>
      <c r="AW49" s="94"/>
      <c r="AX49" s="94"/>
      <c r="AY49" s="27"/>
      <c r="AZ49" s="27"/>
      <c r="BA49" s="27"/>
      <c r="BB49" s="18"/>
      <c r="BO49" s="117"/>
      <c r="DX49" s="38"/>
      <c r="DY49" s="38"/>
      <c r="DZ49" s="38"/>
      <c r="EA49" s="38"/>
      <c r="EB49" s="38"/>
      <c r="EC49" s="38"/>
      <c r="ED49" s="38"/>
      <c r="EE49" s="38"/>
      <c r="EF49" s="38"/>
      <c r="EG49" s="38"/>
      <c r="EH49" s="38"/>
      <c r="EI49" s="38"/>
      <c r="EJ49" s="38"/>
      <c r="EK49" s="38"/>
      <c r="EL49" s="38"/>
      <c r="EM49" s="38"/>
      <c r="EN49" s="38"/>
      <c r="EO49" s="38"/>
      <c r="EP49" s="38"/>
      <c r="EQ49" s="38"/>
      <c r="ER49" s="38"/>
      <c r="ES49" s="38"/>
      <c r="ET49" s="38"/>
    </row>
    <row r="50" spans="1:150" x14ac:dyDescent="0.2">
      <c r="A50" s="247" t="s">
        <v>72</v>
      </c>
      <c r="B50" s="247">
        <v>1595</v>
      </c>
      <c r="C50" s="247">
        <v>4718</v>
      </c>
      <c r="D50" s="247">
        <v>0.52</v>
      </c>
      <c r="E50" s="247">
        <v>0.6</v>
      </c>
      <c r="F50" s="263">
        <f t="shared" si="19"/>
        <v>957</v>
      </c>
      <c r="G50" s="247" t="s">
        <v>11</v>
      </c>
      <c r="H50" s="73"/>
      <c r="I50" s="73"/>
      <c r="J50" s="247">
        <v>957</v>
      </c>
      <c r="K50" s="253">
        <v>38.987000000000002</v>
      </c>
      <c r="L50" s="247">
        <v>0.6</v>
      </c>
      <c r="M50" s="254">
        <v>574.20000000000005</v>
      </c>
      <c r="N50" s="255"/>
      <c r="O50" s="255">
        <f t="shared" si="10"/>
        <v>22386.3354</v>
      </c>
      <c r="P50" s="255"/>
      <c r="Q50" s="255"/>
      <c r="R50" s="270"/>
      <c r="S50" s="270"/>
      <c r="T50" s="30"/>
      <c r="U50">
        <v>2.3999999999999998E-3</v>
      </c>
      <c r="V50">
        <v>0.99760000000000004</v>
      </c>
      <c r="W50" s="94"/>
      <c r="X50" s="94">
        <f t="shared" si="11"/>
        <v>53.727204959999995</v>
      </c>
      <c r="Y50" s="94"/>
      <c r="Z50" s="94"/>
      <c r="AA50" s="94">
        <f t="shared" si="12"/>
        <v>22332.60819504</v>
      </c>
      <c r="AB50" s="94"/>
      <c r="AI50" s="19"/>
      <c r="AJ50">
        <v>10</v>
      </c>
      <c r="AK50" s="34">
        <f t="shared" si="17"/>
        <v>1.1415525114155251E-3</v>
      </c>
      <c r="AL50" s="34">
        <f t="shared" si="13"/>
        <v>0.99885844748858443</v>
      </c>
      <c r="AM50" s="94"/>
      <c r="AN50" s="94"/>
      <c r="AO50" s="94"/>
      <c r="AP50" s="27"/>
      <c r="AQ50" s="27"/>
      <c r="AR50" s="94">
        <f t="shared" si="14"/>
        <v>25.493844971506849</v>
      </c>
      <c r="AS50" s="94">
        <f t="shared" si="15"/>
        <v>12.746922485753425</v>
      </c>
      <c r="AT50" s="27">
        <f t="shared" si="18"/>
        <v>22319.861272554244</v>
      </c>
      <c r="AU50" s="27"/>
      <c r="AV50" s="27"/>
      <c r="AW50" s="94"/>
      <c r="AX50" s="94"/>
      <c r="AY50" s="27"/>
      <c r="AZ50" s="27"/>
      <c r="BA50" s="27"/>
      <c r="BB50" s="18"/>
      <c r="BC50" s="5"/>
      <c r="BD50" s="5"/>
      <c r="BE50" s="5"/>
      <c r="BF50" s="5"/>
      <c r="BG50" s="5"/>
      <c r="BH50" s="5"/>
      <c r="BI50" s="5"/>
      <c r="BJ50" s="5"/>
      <c r="BK50" s="5"/>
      <c r="BL50" s="5"/>
      <c r="BM50" s="5"/>
      <c r="BN50" s="5"/>
      <c r="BO50" s="29"/>
      <c r="DX50" s="38"/>
      <c r="DY50" s="38"/>
      <c r="DZ50" s="38"/>
      <c r="EA50" s="38"/>
      <c r="EB50" s="38"/>
      <c r="EC50" s="38"/>
      <c r="ED50" s="38"/>
      <c r="EE50" s="38"/>
      <c r="EF50" s="38"/>
      <c r="EG50" s="38"/>
      <c r="EH50" s="38"/>
      <c r="EI50" s="38"/>
      <c r="EJ50" s="38"/>
      <c r="EK50" s="38"/>
      <c r="EL50" s="38"/>
      <c r="EM50" s="38"/>
      <c r="EN50" s="38"/>
      <c r="EO50" s="38"/>
      <c r="EP50" s="38"/>
      <c r="EQ50" s="38"/>
      <c r="ER50" s="38"/>
      <c r="ES50" s="38"/>
      <c r="ET50" s="38"/>
    </row>
    <row r="51" spans="1:150" x14ac:dyDescent="0.2">
      <c r="E51" s="251"/>
      <c r="J51" s="265"/>
      <c r="K51" s="253"/>
      <c r="L51" s="247"/>
      <c r="M51" s="254"/>
      <c r="N51" s="247"/>
      <c r="O51" s="247"/>
      <c r="P51" s="247"/>
      <c r="Q51" s="247"/>
      <c r="R51" s="249"/>
      <c r="S51" s="249"/>
      <c r="AD51" s="251"/>
      <c r="AE51" s="251"/>
      <c r="AF51" s="251"/>
      <c r="AG51" s="251"/>
      <c r="AH51" s="251"/>
      <c r="AU51" s="251"/>
      <c r="AV51" s="251"/>
      <c r="AW51" s="251"/>
      <c r="BB51" s="59"/>
      <c r="BO51" s="118"/>
      <c r="DX51" s="38"/>
      <c r="DY51" s="38"/>
      <c r="DZ51" s="38"/>
      <c r="EA51" s="38"/>
      <c r="EB51" s="38"/>
      <c r="EC51" s="38"/>
      <c r="ED51" s="38"/>
      <c r="EE51" s="38"/>
      <c r="EF51" s="38"/>
      <c r="EG51" s="38"/>
      <c r="EH51" s="38"/>
      <c r="EI51" s="38"/>
      <c r="EJ51" s="38"/>
      <c r="EK51" s="38"/>
      <c r="EL51" s="38"/>
      <c r="EM51" s="38"/>
      <c r="EN51" s="38"/>
      <c r="EO51" s="38"/>
      <c r="EP51" s="38"/>
      <c r="EQ51" s="38"/>
      <c r="ER51" s="38"/>
      <c r="ES51" s="38"/>
      <c r="ET51" s="38"/>
    </row>
    <row r="52" spans="1:150" x14ac:dyDescent="0.2">
      <c r="R52" s="251"/>
      <c r="S52" s="251"/>
      <c r="AD52" s="251"/>
      <c r="AE52" s="251"/>
      <c r="AF52" s="251"/>
      <c r="AG52" s="251"/>
      <c r="AH52" s="251"/>
      <c r="AU52" s="251"/>
      <c r="AV52" s="251"/>
      <c r="AW52" s="251"/>
      <c r="BB52" s="59"/>
      <c r="BC52" s="35"/>
      <c r="BD52" s="37"/>
      <c r="BE52" s="35"/>
      <c r="BF52" s="35"/>
      <c r="BG52" s="35"/>
      <c r="BH52" s="35"/>
      <c r="BO52" s="119"/>
      <c r="DX52" s="38"/>
      <c r="DY52" s="38"/>
      <c r="DZ52" s="38"/>
      <c r="EA52" s="38"/>
      <c r="EB52" s="38"/>
      <c r="EC52" s="38"/>
      <c r="ED52" s="38"/>
      <c r="EE52" s="38"/>
      <c r="EF52" s="38"/>
      <c r="EG52" s="38"/>
      <c r="EH52" s="38"/>
      <c r="EI52" s="38"/>
      <c r="EJ52" s="38"/>
      <c r="EK52" s="38"/>
      <c r="EL52" s="38"/>
      <c r="EM52" s="38"/>
      <c r="EN52" s="38"/>
      <c r="EO52" s="38"/>
      <c r="EP52" s="38"/>
      <c r="EQ52" s="38"/>
      <c r="ER52" s="38"/>
      <c r="ES52" s="38"/>
      <c r="ET52" s="38"/>
    </row>
    <row r="53" spans="1:150" x14ac:dyDescent="0.2">
      <c r="R53" s="251"/>
      <c r="S53" s="251"/>
      <c r="AD53" s="251"/>
      <c r="AE53" s="251"/>
      <c r="AF53" s="251"/>
      <c r="AG53" s="251"/>
      <c r="AH53" s="251"/>
      <c r="AJ53" t="s">
        <v>93</v>
      </c>
      <c r="AU53" s="251"/>
      <c r="AV53" s="251"/>
      <c r="AW53" s="251"/>
      <c r="BB53" s="18"/>
      <c r="BC53" s="7" t="s">
        <v>84</v>
      </c>
      <c r="BD53" s="67"/>
      <c r="BE53" s="7"/>
      <c r="BF53" s="7"/>
      <c r="BG53" s="7"/>
      <c r="BH53" s="7"/>
      <c r="BI53" s="1"/>
      <c r="BJ53" s="1"/>
      <c r="BK53" s="1"/>
      <c r="BL53" s="1"/>
      <c r="BM53" s="1"/>
      <c r="BN53" s="1"/>
      <c r="BO53" s="117"/>
      <c r="DX53" s="38"/>
      <c r="DY53" s="38"/>
      <c r="DZ53" s="38"/>
      <c r="EA53" s="38"/>
      <c r="EB53" s="38"/>
      <c r="EC53" s="38"/>
      <c r="ED53" s="38"/>
      <c r="EE53" s="38"/>
      <c r="EF53" s="38"/>
      <c r="EG53" s="38"/>
      <c r="EH53" s="38"/>
      <c r="EI53" s="38"/>
      <c r="EJ53" s="38"/>
      <c r="EK53" s="38"/>
      <c r="EL53" s="38"/>
      <c r="EM53" s="38"/>
      <c r="EN53" s="38"/>
      <c r="EO53" s="38"/>
      <c r="EP53" s="38"/>
      <c r="EQ53" s="38"/>
      <c r="ER53" s="38"/>
      <c r="ES53" s="38"/>
      <c r="ET53" s="38"/>
    </row>
    <row r="54" spans="1:150" x14ac:dyDescent="0.2">
      <c r="R54" s="251"/>
      <c r="S54" s="251"/>
      <c r="AD54" s="251"/>
      <c r="AE54" s="251"/>
      <c r="AF54" s="251"/>
      <c r="AG54" s="251"/>
      <c r="AH54" s="251"/>
      <c r="AU54" s="251"/>
      <c r="AV54" s="251"/>
      <c r="AW54" s="251"/>
      <c r="BB54" s="18"/>
      <c r="BC54" s="9" t="s">
        <v>77</v>
      </c>
      <c r="BD54" s="9" t="s">
        <v>78</v>
      </c>
      <c r="BE54" s="9" t="s">
        <v>79</v>
      </c>
      <c r="BF54" s="9"/>
      <c r="BG54" s="9"/>
      <c r="BH54" s="9"/>
      <c r="BO54" s="117"/>
      <c r="DX54" s="38"/>
      <c r="DY54" s="38"/>
      <c r="DZ54" s="38"/>
      <c r="EA54" s="38"/>
      <c r="EB54" s="38"/>
      <c r="EC54" s="38"/>
      <c r="ED54" s="38"/>
      <c r="EE54" s="38"/>
      <c r="EF54" s="38"/>
      <c r="EG54" s="38"/>
      <c r="EH54" s="38"/>
      <c r="EI54" s="38"/>
      <c r="EJ54" s="38"/>
      <c r="EK54" s="38"/>
      <c r="EL54" s="38"/>
      <c r="EM54" s="38"/>
      <c r="EN54" s="38"/>
      <c r="EO54" s="38"/>
      <c r="EP54" s="38"/>
      <c r="EQ54" s="38"/>
      <c r="ER54" s="38"/>
      <c r="ES54" s="38"/>
      <c r="ET54" s="38"/>
    </row>
    <row r="55" spans="1:150" x14ac:dyDescent="0.2">
      <c r="R55" s="251"/>
      <c r="S55" s="251"/>
      <c r="AD55" s="251"/>
      <c r="AE55" s="251"/>
      <c r="AF55" s="251"/>
      <c r="AG55" s="251"/>
      <c r="AH55" s="251"/>
      <c r="AU55" s="251"/>
      <c r="AV55" s="251"/>
      <c r="AW55" s="251"/>
      <c r="BB55" s="18"/>
      <c r="BC55" s="9"/>
      <c r="BD55" s="9"/>
      <c r="BE55" s="9"/>
      <c r="BF55" s="9"/>
      <c r="BG55" s="9"/>
      <c r="BH55" s="9"/>
      <c r="BO55" s="117"/>
      <c r="DX55" s="38"/>
      <c r="DY55" s="38"/>
      <c r="DZ55" s="38"/>
      <c r="EA55" s="38"/>
      <c r="EB55" s="38"/>
      <c r="EC55" s="38"/>
      <c r="ED55" s="38"/>
      <c r="EE55" s="38"/>
      <c r="EF55" s="38"/>
      <c r="EG55" s="38"/>
      <c r="EH55" s="38"/>
      <c r="EI55" s="38"/>
      <c r="EJ55" s="38"/>
      <c r="EK55" s="38"/>
      <c r="EL55" s="38"/>
      <c r="EM55" s="38"/>
      <c r="EN55" s="38"/>
      <c r="EO55" s="38"/>
      <c r="EP55" s="38"/>
      <c r="EQ55" s="38"/>
      <c r="ER55" s="38"/>
      <c r="ES55" s="38"/>
      <c r="ET55" s="38"/>
    </row>
    <row r="56" spans="1:150" x14ac:dyDescent="0.2">
      <c r="R56" s="251"/>
      <c r="S56" s="251"/>
      <c r="AD56" s="251"/>
      <c r="AE56" s="251"/>
      <c r="AF56" s="251"/>
      <c r="AG56" s="251"/>
      <c r="AH56" s="251"/>
      <c r="AU56" s="251"/>
      <c r="AV56" s="251"/>
      <c r="AW56" s="251"/>
      <c r="BB56" s="19"/>
      <c r="BC56" s="33">
        <v>0.88480000000000003</v>
      </c>
      <c r="BD56" s="33">
        <v>0.94579999999999997</v>
      </c>
      <c r="BE56" s="33">
        <v>0.97699999999999998</v>
      </c>
      <c r="BF56" s="33"/>
      <c r="BG56" s="33"/>
      <c r="BH56" s="33"/>
      <c r="BO56" s="29"/>
      <c r="DX56" s="38"/>
      <c r="DY56" s="38"/>
      <c r="DZ56" s="38"/>
      <c r="EA56" s="38"/>
      <c r="EB56" s="38"/>
      <c r="EC56" s="38"/>
      <c r="ED56" s="38"/>
      <c r="EE56" s="38"/>
      <c r="EF56" s="38"/>
      <c r="EG56" s="38"/>
      <c r="EH56" s="38"/>
      <c r="EI56" s="38"/>
      <c r="EJ56" s="38"/>
      <c r="EK56" s="38"/>
      <c r="EL56" s="38"/>
      <c r="EM56" s="38"/>
      <c r="EN56" s="38"/>
      <c r="EO56" s="38"/>
      <c r="EP56" s="38"/>
      <c r="EQ56" s="38"/>
      <c r="ER56" s="38"/>
      <c r="ES56" s="38"/>
      <c r="ET56" s="38"/>
    </row>
    <row r="57" spans="1:150" x14ac:dyDescent="0.2">
      <c r="R57" s="251"/>
      <c r="S57" s="251"/>
      <c r="AD57" s="251"/>
      <c r="AE57" s="251"/>
      <c r="AF57" s="251"/>
      <c r="AG57" s="251"/>
      <c r="AH57" s="251"/>
      <c r="AU57" s="251"/>
      <c r="AV57" s="251"/>
      <c r="AW57" s="251"/>
      <c r="BC57" s="36"/>
      <c r="BD57" s="36"/>
      <c r="BE57" s="36"/>
      <c r="BF57" s="36"/>
      <c r="BG57" s="36"/>
      <c r="BH57" s="36"/>
      <c r="BI57" s="250"/>
      <c r="BJ57" s="250"/>
      <c r="BK57" s="250"/>
      <c r="BL57" s="250"/>
      <c r="BM57" s="36"/>
      <c r="BN57" s="36"/>
      <c r="BO57" s="36"/>
      <c r="DX57" s="38"/>
      <c r="DY57" s="38"/>
      <c r="DZ57" s="38"/>
      <c r="EA57" s="38"/>
      <c r="EB57" s="38"/>
      <c r="EC57" s="38"/>
      <c r="ED57" s="38"/>
      <c r="EE57" s="38"/>
      <c r="EF57" s="38"/>
      <c r="EG57" s="38"/>
      <c r="EH57" s="38"/>
      <c r="EI57" s="38"/>
      <c r="EJ57" s="38"/>
      <c r="EK57" s="38"/>
      <c r="EL57" s="38"/>
      <c r="EM57" s="38"/>
      <c r="EN57" s="38"/>
      <c r="EO57" s="38"/>
      <c r="EP57" s="38"/>
      <c r="EQ57" s="38"/>
      <c r="ER57" s="38"/>
      <c r="ES57" s="38"/>
      <c r="ET57" s="38"/>
    </row>
    <row r="58" spans="1:150" x14ac:dyDescent="0.2">
      <c r="R58" s="251"/>
      <c r="S58" s="251"/>
      <c r="AD58" s="251"/>
      <c r="AE58" s="251"/>
      <c r="AF58" s="251"/>
      <c r="AG58" s="251"/>
      <c r="AH58" s="251"/>
      <c r="AU58" s="251"/>
      <c r="AV58" s="251"/>
      <c r="AW58" s="251"/>
      <c r="BI58" s="251"/>
      <c r="BJ58" s="251"/>
      <c r="BK58" s="251"/>
      <c r="BL58" s="251"/>
    </row>
    <row r="59" spans="1:150" x14ac:dyDescent="0.2">
      <c r="R59" s="251"/>
      <c r="S59" s="251"/>
      <c r="AD59" s="251"/>
      <c r="AE59" s="251"/>
      <c r="AF59" s="251"/>
      <c r="AG59" s="251"/>
      <c r="AH59" s="251"/>
      <c r="AU59" s="251"/>
      <c r="AV59" s="251"/>
      <c r="AW59" s="251"/>
      <c r="BI59" s="251"/>
      <c r="BJ59" s="251"/>
      <c r="BK59" s="251"/>
      <c r="BL59" s="251"/>
    </row>
    <row r="60" spans="1:150" x14ac:dyDescent="0.2">
      <c r="R60" s="251"/>
      <c r="S60" s="251"/>
      <c r="AD60" s="251"/>
      <c r="AE60" s="251"/>
      <c r="AF60" s="251"/>
      <c r="AG60" s="251"/>
      <c r="AH60" s="251"/>
      <c r="BI60" s="251"/>
      <c r="BJ60" s="251"/>
      <c r="BK60" s="251"/>
      <c r="BL60" s="251"/>
    </row>
    <row r="61" spans="1:150" x14ac:dyDescent="0.2">
      <c r="BI61" s="251"/>
      <c r="BJ61" s="251"/>
      <c r="BK61" s="251"/>
      <c r="BL61" s="251"/>
    </row>
    <row r="62" spans="1:150" x14ac:dyDescent="0.2">
      <c r="AK62" t="s">
        <v>93</v>
      </c>
      <c r="BI62" s="251"/>
      <c r="BJ62" s="251"/>
      <c r="BK62" s="251"/>
      <c r="BL62" s="25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72052-7BED-7545-ACFD-76F163841D8D}">
  <dimension ref="A1:EY62"/>
  <sheetViews>
    <sheetView topLeftCell="DL1" zoomScale="63" zoomScaleNormal="77" workbookViewId="0">
      <selection activeCell="EG28" sqref="EG28:EK34"/>
    </sheetView>
  </sheetViews>
  <sheetFormatPr baseColWidth="10" defaultColWidth="11.1640625" defaultRowHeight="16" x14ac:dyDescent="0.2"/>
  <cols>
    <col min="1" max="1" width="26.1640625" customWidth="1"/>
    <col min="2" max="2" width="25.1640625" customWidth="1"/>
    <col min="3" max="3" width="27.6640625" customWidth="1"/>
    <col min="4" max="4" width="25.83203125" customWidth="1"/>
    <col min="5" max="5" width="20" customWidth="1"/>
    <col min="6" max="6" width="30.6640625" customWidth="1"/>
    <col min="7" max="7" width="15.83203125" customWidth="1"/>
    <col min="8" max="8" width="7" customWidth="1"/>
    <col min="9" max="9" width="6" customWidth="1"/>
    <col min="10" max="10" width="43.83203125" customWidth="1"/>
    <col min="11" max="11" width="39.5" style="94" customWidth="1"/>
    <col min="12" max="12" width="50.6640625" style="94" customWidth="1"/>
    <col min="13" max="13" width="39.1640625" style="94" customWidth="1"/>
    <col min="14" max="14" width="29" customWidth="1"/>
    <col min="15" max="15" width="28.5" customWidth="1"/>
    <col min="16" max="16" width="32" customWidth="1"/>
    <col min="17" max="17" width="17.1640625" customWidth="1"/>
    <col min="18" max="18" width="21.5" customWidth="1"/>
    <col min="19" max="19" width="19" customWidth="1"/>
    <col min="20" max="20" width="18" customWidth="1"/>
    <col min="21" max="21" width="17.5" customWidth="1"/>
    <col min="22" max="22" width="8.1640625" customWidth="1"/>
    <col min="23" max="23" width="33.6640625" customWidth="1"/>
    <col min="24" max="24" width="31.6640625" customWidth="1"/>
    <col min="25" max="25" width="19.33203125" customWidth="1"/>
    <col min="26" max="26" width="14.1640625" customWidth="1"/>
    <col min="27" max="27" width="14" customWidth="1"/>
    <col min="28" max="28" width="18.33203125" customWidth="1"/>
    <col min="29" max="29" width="11" customWidth="1"/>
    <col min="30" max="30" width="12.83203125" customWidth="1"/>
    <col min="31" max="31" width="7.5" customWidth="1"/>
    <col min="32" max="32" width="12.33203125" customWidth="1"/>
    <col min="33" max="33" width="7.33203125" customWidth="1"/>
    <col min="34" max="34" width="19.33203125" customWidth="1"/>
    <col min="35" max="35" width="10.6640625" customWidth="1"/>
    <col min="36" max="36" width="12.33203125" customWidth="1"/>
    <col min="37" max="37" width="8.1640625" customWidth="1"/>
    <col min="38" max="38" width="33.33203125" customWidth="1"/>
    <col min="39" max="39" width="29.6640625" customWidth="1"/>
    <col min="40" max="40" width="23.6640625" customWidth="1"/>
    <col min="41" max="41" width="18.1640625" customWidth="1"/>
    <col min="42" max="42" width="23.1640625" customWidth="1"/>
    <col min="43" max="43" width="13.83203125" customWidth="1"/>
    <col min="44" max="44" width="18.33203125" customWidth="1"/>
    <col min="45" max="45" width="31.33203125" customWidth="1"/>
    <col min="46" max="46" width="36.33203125" customWidth="1"/>
    <col min="47" max="47" width="34" customWidth="1"/>
    <col min="48" max="48" width="50.1640625" customWidth="1"/>
    <col min="49" max="49" width="42.6640625" customWidth="1"/>
    <col min="50" max="50" width="38" customWidth="1"/>
    <col min="51" max="51" width="22.83203125" customWidth="1"/>
    <col min="52" max="52" width="22" customWidth="1"/>
    <col min="53" max="53" width="22.1640625" customWidth="1"/>
    <col min="54" max="55" width="20.6640625" customWidth="1"/>
    <col min="56" max="56" width="6.5" customWidth="1"/>
    <col min="57" max="57" width="14.33203125" customWidth="1"/>
    <col min="58" max="58" width="18.83203125" customWidth="1"/>
    <col min="59" max="59" width="13.1640625" customWidth="1"/>
    <col min="60" max="60" width="10.83203125" customWidth="1"/>
    <col min="61" max="61" width="12.83203125" customWidth="1"/>
    <col min="62" max="62" width="11.83203125" customWidth="1"/>
    <col min="63" max="63" width="16.1640625" customWidth="1"/>
    <col min="64" max="64" width="16.6640625" customWidth="1"/>
    <col min="65" max="68" width="14" customWidth="1"/>
    <col min="69" max="69" width="6.5" customWidth="1"/>
    <col min="70" max="70" width="29.33203125" customWidth="1"/>
    <col min="71" max="80" width="18.83203125" customWidth="1"/>
    <col min="81" max="81" width="23" customWidth="1"/>
    <col min="82" max="82" width="9.6640625" style="121" customWidth="1"/>
    <col min="83" max="83" width="29.1640625" customWidth="1"/>
    <col min="84" max="84" width="34.1640625" customWidth="1"/>
    <col min="85" max="85" width="10.5" style="27" customWidth="1"/>
    <col min="86" max="87" width="12.1640625" style="27" customWidth="1"/>
    <col min="88" max="88" width="14" style="27" customWidth="1"/>
    <col min="89" max="89" width="11.83203125" style="27" customWidth="1"/>
    <col min="90" max="90" width="9.83203125" style="27" customWidth="1"/>
    <col min="91" max="102" width="9.6640625" style="27" customWidth="1"/>
    <col min="103" max="103" width="9.5" style="121" customWidth="1"/>
    <col min="104" max="105" width="22.83203125" customWidth="1"/>
    <col min="106" max="106" width="20.33203125" style="27" customWidth="1"/>
    <col min="107" max="114" width="15.33203125" style="27" customWidth="1"/>
    <col min="115" max="115" width="18.33203125" style="27" customWidth="1"/>
    <col min="116" max="123" width="15.33203125" style="27" customWidth="1"/>
    <col min="124" max="124" width="9.5" style="121" customWidth="1"/>
    <col min="125" max="125" width="14.6640625" customWidth="1"/>
    <col min="126" max="126" width="15.83203125" customWidth="1"/>
    <col min="127" max="127" width="13.83203125" customWidth="1"/>
    <col min="128" max="128" width="14.5" customWidth="1"/>
    <col min="129" max="129" width="16" customWidth="1"/>
    <col min="130" max="130" width="13.83203125" customWidth="1"/>
    <col min="131" max="131" width="16.1640625" customWidth="1"/>
    <col min="132" max="132" width="16.6640625" customWidth="1"/>
    <col min="133" max="133" width="14.1640625" customWidth="1"/>
    <col min="134" max="134" width="6.5" customWidth="1"/>
    <col min="135" max="135" width="15.6640625" customWidth="1"/>
    <col min="136" max="136" width="14.33203125" customWidth="1"/>
    <col min="137" max="137" width="13.83203125" customWidth="1"/>
    <col min="138" max="138" width="14.5" customWidth="1"/>
    <col min="139" max="139" width="14.1640625" customWidth="1"/>
    <col min="140" max="140" width="11.83203125" customWidth="1"/>
    <col min="141" max="141" width="15.33203125" customWidth="1"/>
    <col min="142" max="142" width="16.5" customWidth="1"/>
    <col min="143" max="143" width="15.83203125" customWidth="1"/>
    <col min="144" max="144" width="19.83203125" customWidth="1"/>
    <col min="145" max="145" width="16.1640625" customWidth="1"/>
    <col min="146" max="147" width="15" customWidth="1"/>
    <col min="148" max="148" width="13.83203125" customWidth="1"/>
    <col min="149" max="149" width="12.6640625" customWidth="1"/>
    <col min="150" max="150" width="12.33203125" customWidth="1"/>
    <col min="151" max="151" width="13" customWidth="1"/>
    <col min="152" max="152" width="11.33203125" customWidth="1"/>
  </cols>
  <sheetData>
    <row r="1" spans="1:152" ht="34" x14ac:dyDescent="0.4">
      <c r="A1" s="14" t="s">
        <v>46</v>
      </c>
      <c r="B1" s="11"/>
      <c r="C1" s="11"/>
      <c r="D1" s="11"/>
      <c r="E1" s="11"/>
      <c r="F1" s="11"/>
      <c r="G1" s="11" t="s">
        <v>22</v>
      </c>
      <c r="H1" s="31"/>
      <c r="I1" s="32"/>
      <c r="J1" s="243" t="s">
        <v>404</v>
      </c>
      <c r="K1" s="234"/>
      <c r="L1" s="234"/>
      <c r="M1" s="234"/>
      <c r="N1" s="11"/>
      <c r="O1" s="39"/>
      <c r="P1" s="66" t="s">
        <v>133</v>
      </c>
      <c r="Q1" s="11"/>
      <c r="R1" s="43" t="s">
        <v>132</v>
      </c>
      <c r="S1" s="11" t="s">
        <v>393</v>
      </c>
      <c r="T1" s="11"/>
      <c r="U1" s="11"/>
      <c r="V1" s="11"/>
      <c r="W1" s="98" t="s">
        <v>181</v>
      </c>
      <c r="X1" s="99"/>
      <c r="Y1" s="99" t="s">
        <v>189</v>
      </c>
      <c r="Z1" s="99"/>
      <c r="AA1" s="99"/>
      <c r="AB1" s="99"/>
      <c r="AC1" s="99"/>
      <c r="AD1" s="99"/>
      <c r="AE1" s="99" t="s">
        <v>392</v>
      </c>
      <c r="AF1" s="99"/>
      <c r="AG1" s="99"/>
      <c r="AH1" s="11"/>
      <c r="AI1" s="11"/>
      <c r="AJ1" s="11"/>
      <c r="AK1" s="11"/>
      <c r="AL1" s="65" t="s">
        <v>123</v>
      </c>
      <c r="AM1" s="11"/>
      <c r="AN1" s="11"/>
      <c r="AO1" s="11"/>
      <c r="AP1" s="11"/>
      <c r="AQ1" s="11">
        <v>69.61</v>
      </c>
      <c r="AR1" s="44"/>
      <c r="AS1" s="44"/>
      <c r="AT1" s="11"/>
      <c r="AU1" s="11"/>
      <c r="AV1" s="11"/>
      <c r="AW1" s="44"/>
      <c r="AX1" s="44"/>
      <c r="AY1" s="11"/>
      <c r="AZ1" s="11"/>
      <c r="BA1" s="11"/>
      <c r="BB1" s="44"/>
      <c r="BC1" s="44"/>
      <c r="BD1" s="11"/>
      <c r="BE1" s="61" t="s">
        <v>83</v>
      </c>
      <c r="BF1" s="11"/>
      <c r="BG1" s="11"/>
      <c r="BH1" s="11"/>
      <c r="BI1" s="11"/>
      <c r="BJ1" s="11"/>
      <c r="BK1" s="11"/>
      <c r="BL1" s="11"/>
      <c r="BM1" s="11"/>
      <c r="BN1" s="11"/>
      <c r="BO1" s="11"/>
      <c r="BP1" s="63"/>
      <c r="BQ1" s="11"/>
      <c r="BR1" s="43" t="s">
        <v>233</v>
      </c>
      <c r="BS1" s="11"/>
      <c r="BT1" s="11"/>
      <c r="BU1" s="11"/>
      <c r="BV1" s="11"/>
      <c r="BW1" s="11"/>
      <c r="BX1" s="11"/>
      <c r="BY1" s="11"/>
      <c r="BZ1" s="11"/>
      <c r="CA1" s="11"/>
      <c r="CB1" s="11"/>
      <c r="CC1" s="11"/>
      <c r="CE1" s="164" t="s">
        <v>291</v>
      </c>
      <c r="CF1" s="11"/>
      <c r="CG1" s="139"/>
      <c r="CH1" s="139"/>
      <c r="CI1" s="139"/>
      <c r="CJ1" s="139"/>
      <c r="CK1" s="139"/>
      <c r="CL1" s="139"/>
      <c r="CM1" s="139"/>
      <c r="CN1" s="139"/>
      <c r="CO1" s="139"/>
      <c r="CP1" s="139"/>
      <c r="CQ1" s="139"/>
      <c r="CR1" s="139"/>
      <c r="CS1" s="139"/>
      <c r="CT1" s="139"/>
      <c r="CU1" s="139"/>
      <c r="CV1" s="139"/>
      <c r="CW1" s="139"/>
      <c r="CX1" s="139"/>
      <c r="CZ1" s="164" t="s">
        <v>329</v>
      </c>
      <c r="DA1" s="164"/>
      <c r="DB1" s="139"/>
      <c r="DC1" s="139"/>
      <c r="DD1" s="139"/>
      <c r="DE1" s="139"/>
      <c r="DF1" s="139"/>
      <c r="DG1" s="139"/>
      <c r="DH1" s="139"/>
      <c r="DI1" s="139"/>
      <c r="DJ1" s="139"/>
      <c r="DK1" s="139"/>
      <c r="DL1" s="139"/>
      <c r="DM1" s="139"/>
      <c r="DN1" s="139"/>
      <c r="DO1" s="139"/>
      <c r="DP1" s="139"/>
      <c r="DQ1" s="139"/>
      <c r="DR1" s="139"/>
      <c r="DS1" s="139"/>
      <c r="DU1" s="120" t="s">
        <v>410</v>
      </c>
      <c r="DV1" s="11"/>
      <c r="DW1" s="11"/>
      <c r="DX1" s="51"/>
      <c r="DY1" s="11"/>
      <c r="DZ1" s="39"/>
      <c r="EA1" s="39"/>
      <c r="EB1" s="39"/>
      <c r="EC1" s="39"/>
      <c r="ED1" s="121"/>
      <c r="EE1" s="120" t="s">
        <v>375</v>
      </c>
      <c r="EF1" s="11"/>
      <c r="EG1" s="11"/>
      <c r="EH1" s="51"/>
      <c r="EI1" s="11"/>
      <c r="EJ1" s="39"/>
      <c r="EK1" s="39"/>
      <c r="EL1" s="39"/>
      <c r="EM1" s="194"/>
      <c r="EN1" s="120" t="s">
        <v>375</v>
      </c>
      <c r="EO1" s="11"/>
      <c r="EP1" s="11"/>
      <c r="EQ1" s="51"/>
      <c r="ER1" s="11"/>
      <c r="ES1" s="39"/>
      <c r="ET1" s="39"/>
      <c r="EU1" s="39"/>
      <c r="EV1" s="194"/>
    </row>
    <row r="2" spans="1:152" ht="31" customHeight="1" x14ac:dyDescent="0.25">
      <c r="A2" s="26"/>
      <c r="H2" s="20"/>
      <c r="I2" s="21"/>
      <c r="J2" s="6" t="s">
        <v>94</v>
      </c>
      <c r="K2" s="235"/>
      <c r="L2" s="235"/>
      <c r="M2" s="235"/>
      <c r="N2" s="7"/>
      <c r="O2" s="252"/>
      <c r="P2" s="7" t="s">
        <v>95</v>
      </c>
      <c r="Q2" s="7" t="s">
        <v>96</v>
      </c>
      <c r="R2" s="7" t="s">
        <v>97</v>
      </c>
      <c r="S2" s="7" t="s">
        <v>101</v>
      </c>
      <c r="T2" s="7" t="s">
        <v>96</v>
      </c>
      <c r="U2" s="7" t="s">
        <v>102</v>
      </c>
      <c r="V2" s="16"/>
      <c r="W2" s="102" t="s">
        <v>185</v>
      </c>
      <c r="X2" s="7"/>
      <c r="Y2" s="62" t="s">
        <v>183</v>
      </c>
      <c r="Z2" s="62"/>
      <c r="AA2" s="62"/>
      <c r="AB2" s="62" t="s">
        <v>187</v>
      </c>
      <c r="AC2" s="62"/>
      <c r="AD2" s="62"/>
      <c r="AE2" s="62" t="s">
        <v>183</v>
      </c>
      <c r="AF2" s="62"/>
      <c r="AG2" s="62"/>
      <c r="AH2" s="62" t="s">
        <v>187</v>
      </c>
      <c r="AI2" s="62"/>
      <c r="AJ2" s="62"/>
      <c r="AK2" s="101"/>
      <c r="AL2" s="64" t="s">
        <v>86</v>
      </c>
      <c r="AM2" s="37"/>
      <c r="AN2" s="37"/>
      <c r="AO2" s="37" t="s">
        <v>379</v>
      </c>
      <c r="AP2" s="37" t="s">
        <v>379</v>
      </c>
      <c r="AQ2" s="37" t="s">
        <v>379</v>
      </c>
      <c r="AR2" s="37" t="s">
        <v>394</v>
      </c>
      <c r="AS2" s="37" t="s">
        <v>394</v>
      </c>
      <c r="AT2" s="37" t="s">
        <v>380</v>
      </c>
      <c r="AU2" s="37" t="s">
        <v>380</v>
      </c>
      <c r="AV2" s="37" t="s">
        <v>380</v>
      </c>
      <c r="AW2" s="37" t="s">
        <v>395</v>
      </c>
      <c r="AX2" s="37" t="s">
        <v>381</v>
      </c>
      <c r="AY2" s="37" t="s">
        <v>382</v>
      </c>
      <c r="AZ2" s="37" t="s">
        <v>383</v>
      </c>
      <c r="BA2" s="37" t="s">
        <v>382</v>
      </c>
      <c r="BB2" s="37" t="s">
        <v>384</v>
      </c>
      <c r="BC2" s="37" t="s">
        <v>384</v>
      </c>
      <c r="BD2" s="58"/>
      <c r="BE2" s="7" t="s">
        <v>232</v>
      </c>
      <c r="BF2" s="7"/>
      <c r="BG2" s="7"/>
      <c r="BH2" s="7" t="s">
        <v>385</v>
      </c>
      <c r="BI2" s="7"/>
      <c r="BJ2" s="7"/>
      <c r="BK2" s="49" t="s">
        <v>386</v>
      </c>
      <c r="BL2" s="7"/>
      <c r="BM2" s="7"/>
      <c r="BN2" s="6" t="s">
        <v>387</v>
      </c>
      <c r="BO2" s="7"/>
      <c r="BP2" s="62"/>
      <c r="BQ2" s="114"/>
      <c r="BR2" s="7" t="s">
        <v>231</v>
      </c>
      <c r="BS2" s="7"/>
      <c r="BT2" s="7"/>
      <c r="BU2" s="7" t="s">
        <v>385</v>
      </c>
      <c r="BV2" s="7"/>
      <c r="BW2" s="7"/>
      <c r="BX2" s="49" t="s">
        <v>386</v>
      </c>
      <c r="BY2" s="7"/>
      <c r="BZ2" s="7"/>
      <c r="CA2" s="6" t="s">
        <v>387</v>
      </c>
      <c r="CB2" s="7"/>
      <c r="CC2" s="62"/>
      <c r="CD2" s="122"/>
      <c r="CE2" s="154" t="s">
        <v>290</v>
      </c>
      <c r="CF2" s="165"/>
      <c r="CG2" s="168" t="s">
        <v>388</v>
      </c>
      <c r="CH2" s="168"/>
      <c r="CI2" s="168"/>
      <c r="CJ2" s="168"/>
      <c r="CK2" s="168"/>
      <c r="CL2" s="170"/>
      <c r="CM2" s="168" t="s">
        <v>389</v>
      </c>
      <c r="CN2" s="168"/>
      <c r="CO2" s="168"/>
      <c r="CP2" s="168"/>
      <c r="CQ2" s="168"/>
      <c r="CR2" s="170"/>
      <c r="CS2" s="168" t="s">
        <v>390</v>
      </c>
      <c r="CT2" s="168"/>
      <c r="CU2" s="168"/>
      <c r="CV2" s="168"/>
      <c r="CW2" s="168"/>
      <c r="CX2" s="168"/>
      <c r="CY2" s="122"/>
      <c r="CZ2" s="168" t="s">
        <v>306</v>
      </c>
      <c r="DA2" s="168"/>
      <c r="DB2" s="168" t="s">
        <v>311</v>
      </c>
      <c r="DC2" s="168"/>
      <c r="DD2" s="168"/>
      <c r="DE2" s="168"/>
      <c r="DF2" s="168"/>
      <c r="DG2" s="168"/>
      <c r="DH2" s="168"/>
      <c r="DI2" s="168"/>
      <c r="DJ2" s="170"/>
      <c r="DK2" s="168" t="s">
        <v>391</v>
      </c>
      <c r="DL2" s="168"/>
      <c r="DM2" s="168"/>
      <c r="DN2" s="168"/>
      <c r="DO2" s="168"/>
      <c r="DP2" s="168"/>
      <c r="DQ2" s="168"/>
      <c r="DR2" s="168"/>
      <c r="DS2" s="168"/>
      <c r="DT2" s="122"/>
      <c r="DU2" s="60" t="s">
        <v>105</v>
      </c>
      <c r="DV2" s="8"/>
      <c r="DW2" s="8"/>
      <c r="DX2" s="57" t="s">
        <v>104</v>
      </c>
      <c r="DY2" s="8"/>
      <c r="DZ2" s="40"/>
      <c r="EA2" s="52" t="s">
        <v>108</v>
      </c>
      <c r="EB2" s="50"/>
      <c r="EC2" s="50"/>
      <c r="ED2" s="122"/>
      <c r="EE2" s="60" t="s">
        <v>293</v>
      </c>
      <c r="EF2" s="8"/>
      <c r="EG2" s="8"/>
      <c r="EH2" s="57" t="s">
        <v>104</v>
      </c>
      <c r="EI2" s="8"/>
      <c r="EJ2" s="40"/>
      <c r="EK2" s="52" t="s">
        <v>108</v>
      </c>
      <c r="EL2" s="50"/>
      <c r="EM2" s="195"/>
      <c r="EN2" s="60" t="s">
        <v>293</v>
      </c>
      <c r="EO2" s="8"/>
      <c r="EP2" s="8"/>
      <c r="EQ2" s="57" t="s">
        <v>104</v>
      </c>
      <c r="ER2" s="8"/>
      <c r="ES2" s="40"/>
      <c r="ET2" s="52" t="s">
        <v>108</v>
      </c>
      <c r="EU2" s="50"/>
      <c r="EV2" s="195"/>
    </row>
    <row r="3" spans="1:152" s="1" customFormat="1" ht="24" customHeight="1" x14ac:dyDescent="0.2">
      <c r="A3" s="15" t="s">
        <v>413</v>
      </c>
      <c r="B3" s="15" t="s">
        <v>9</v>
      </c>
      <c r="C3" s="15" t="s">
        <v>2</v>
      </c>
      <c r="D3" s="15" t="s">
        <v>1</v>
      </c>
      <c r="E3" s="15" t="s">
        <v>3</v>
      </c>
      <c r="F3" s="15" t="s">
        <v>6</v>
      </c>
      <c r="G3" s="15" t="s">
        <v>5</v>
      </c>
      <c r="H3" s="22"/>
      <c r="I3" s="23"/>
      <c r="J3" s="9" t="s">
        <v>74</v>
      </c>
      <c r="K3" s="236" t="s">
        <v>336</v>
      </c>
      <c r="L3" s="236" t="s">
        <v>129</v>
      </c>
      <c r="M3" s="236" t="s">
        <v>337</v>
      </c>
      <c r="N3" s="9" t="s">
        <v>1</v>
      </c>
      <c r="O3" s="239" t="s">
        <v>399</v>
      </c>
      <c r="P3" s="10" t="s">
        <v>98</v>
      </c>
      <c r="Q3" s="10" t="s">
        <v>76</v>
      </c>
      <c r="R3" s="10" t="s">
        <v>99</v>
      </c>
      <c r="S3" s="10" t="s">
        <v>100</v>
      </c>
      <c r="T3" s="10" t="s">
        <v>100</v>
      </c>
      <c r="U3" s="10" t="s">
        <v>100</v>
      </c>
      <c r="V3" s="17"/>
      <c r="W3" s="103" t="s">
        <v>182</v>
      </c>
      <c r="X3" s="103" t="s">
        <v>184</v>
      </c>
      <c r="Y3" s="100" t="s">
        <v>101</v>
      </c>
      <c r="Z3" s="100" t="s">
        <v>96</v>
      </c>
      <c r="AA3" s="100" t="s">
        <v>102</v>
      </c>
      <c r="AB3" s="100" t="s">
        <v>101</v>
      </c>
      <c r="AC3" s="100" t="s">
        <v>96</v>
      </c>
      <c r="AD3" s="100" t="s">
        <v>102</v>
      </c>
      <c r="AE3" s="100" t="s">
        <v>101</v>
      </c>
      <c r="AF3" s="100" t="s">
        <v>96</v>
      </c>
      <c r="AG3" s="100" t="s">
        <v>102</v>
      </c>
      <c r="AH3" s="100" t="s">
        <v>101</v>
      </c>
      <c r="AI3" s="100" t="s">
        <v>96</v>
      </c>
      <c r="AJ3" s="100" t="s">
        <v>102</v>
      </c>
      <c r="AK3" s="17"/>
      <c r="AL3" s="10" t="s">
        <v>85</v>
      </c>
      <c r="AM3" s="10" t="s">
        <v>89</v>
      </c>
      <c r="AN3" s="10" t="s">
        <v>90</v>
      </c>
      <c r="AO3" s="10" t="s">
        <v>352</v>
      </c>
      <c r="AP3" s="10" t="s">
        <v>353</v>
      </c>
      <c r="AQ3" s="10" t="s">
        <v>110</v>
      </c>
      <c r="AR3" s="10" t="s">
        <v>91</v>
      </c>
      <c r="AS3" s="10" t="s">
        <v>92</v>
      </c>
      <c r="AT3" s="10" t="s">
        <v>354</v>
      </c>
      <c r="AU3" s="10" t="s">
        <v>355</v>
      </c>
      <c r="AV3" s="10" t="s">
        <v>111</v>
      </c>
      <c r="AW3" s="10" t="s">
        <v>91</v>
      </c>
      <c r="AX3" s="10" t="s">
        <v>92</v>
      </c>
      <c r="AY3" s="10" t="s">
        <v>354</v>
      </c>
      <c r="AZ3" s="10" t="s">
        <v>356</v>
      </c>
      <c r="BA3" s="10" t="s">
        <v>111</v>
      </c>
      <c r="BB3" s="10" t="s">
        <v>114</v>
      </c>
      <c r="BC3" s="10" t="s">
        <v>115</v>
      </c>
      <c r="BD3" s="58"/>
      <c r="BE3" s="9" t="s">
        <v>77</v>
      </c>
      <c r="BF3" s="9" t="s">
        <v>78</v>
      </c>
      <c r="BG3" s="9" t="s">
        <v>79</v>
      </c>
      <c r="BH3" s="45" t="s">
        <v>117</v>
      </c>
      <c r="BI3" s="10" t="s">
        <v>121</v>
      </c>
      <c r="BJ3" s="10" t="s">
        <v>122</v>
      </c>
      <c r="BK3" s="45" t="s">
        <v>117</v>
      </c>
      <c r="BL3" s="10" t="s">
        <v>121</v>
      </c>
      <c r="BM3" s="10" t="s">
        <v>122</v>
      </c>
      <c r="BN3" s="46" t="s">
        <v>117</v>
      </c>
      <c r="BO3" s="10" t="s">
        <v>121</v>
      </c>
      <c r="BP3" s="10" t="s">
        <v>122</v>
      </c>
      <c r="BQ3" s="115"/>
      <c r="BR3" s="9" t="s">
        <v>77</v>
      </c>
      <c r="BS3" s="9" t="s">
        <v>78</v>
      </c>
      <c r="BT3" s="9" t="s">
        <v>79</v>
      </c>
      <c r="BU3" s="45" t="s">
        <v>117</v>
      </c>
      <c r="BV3" s="10" t="s">
        <v>121</v>
      </c>
      <c r="BW3" s="10" t="s">
        <v>122</v>
      </c>
      <c r="BX3" s="45" t="s">
        <v>117</v>
      </c>
      <c r="BY3" s="10" t="s">
        <v>121</v>
      </c>
      <c r="BZ3" s="10" t="s">
        <v>122</v>
      </c>
      <c r="CA3" s="46" t="s">
        <v>117</v>
      </c>
      <c r="CB3" s="10" t="s">
        <v>121</v>
      </c>
      <c r="CC3" s="10" t="s">
        <v>122</v>
      </c>
      <c r="CD3" s="123"/>
      <c r="CE3" s="9" t="s">
        <v>277</v>
      </c>
      <c r="CF3" s="166" t="s">
        <v>278</v>
      </c>
      <c r="CG3" s="168" t="s">
        <v>117</v>
      </c>
      <c r="CH3" s="168" t="s">
        <v>117</v>
      </c>
      <c r="CI3" s="168" t="s">
        <v>121</v>
      </c>
      <c r="CJ3" s="168" t="s">
        <v>121</v>
      </c>
      <c r="CK3" s="168" t="s">
        <v>122</v>
      </c>
      <c r="CL3" s="170" t="s">
        <v>122</v>
      </c>
      <c r="CM3" s="168" t="s">
        <v>117</v>
      </c>
      <c r="CN3" s="168" t="s">
        <v>117</v>
      </c>
      <c r="CO3" s="168" t="s">
        <v>121</v>
      </c>
      <c r="CP3" s="168" t="s">
        <v>121</v>
      </c>
      <c r="CQ3" s="168" t="s">
        <v>122</v>
      </c>
      <c r="CR3" s="170" t="s">
        <v>122</v>
      </c>
      <c r="CS3" s="168" t="s">
        <v>117</v>
      </c>
      <c r="CT3" s="168" t="s">
        <v>117</v>
      </c>
      <c r="CU3" s="168" t="s">
        <v>121</v>
      </c>
      <c r="CV3" s="168" t="s">
        <v>121</v>
      </c>
      <c r="CW3" s="168" t="s">
        <v>122</v>
      </c>
      <c r="CX3" s="168" t="s">
        <v>122</v>
      </c>
      <c r="CY3" s="123"/>
      <c r="CZ3" s="9" t="s">
        <v>307</v>
      </c>
      <c r="DA3" s="9" t="s">
        <v>308</v>
      </c>
      <c r="DB3" s="168" t="s">
        <v>105</v>
      </c>
      <c r="DC3" s="168"/>
      <c r="DD3" s="168"/>
      <c r="DE3" s="168" t="s">
        <v>104</v>
      </c>
      <c r="DF3" s="168"/>
      <c r="DG3" s="168"/>
      <c r="DH3" s="168" t="s">
        <v>108</v>
      </c>
      <c r="DI3" s="168"/>
      <c r="DJ3" s="170"/>
      <c r="DK3" s="168" t="s">
        <v>105</v>
      </c>
      <c r="DL3" s="168"/>
      <c r="DM3" s="168"/>
      <c r="DN3" s="168" t="s">
        <v>104</v>
      </c>
      <c r="DO3" s="168"/>
      <c r="DP3" s="168"/>
      <c r="DQ3" s="168" t="s">
        <v>108</v>
      </c>
      <c r="DR3" s="168"/>
      <c r="DS3" s="170"/>
      <c r="DT3" s="123"/>
      <c r="DU3" s="10" t="s">
        <v>80</v>
      </c>
      <c r="DV3" s="10" t="s">
        <v>81</v>
      </c>
      <c r="DW3" s="41" t="s">
        <v>82</v>
      </c>
      <c r="DX3" s="46" t="s">
        <v>80</v>
      </c>
      <c r="DY3" s="10" t="s">
        <v>81</v>
      </c>
      <c r="DZ3" s="41" t="s">
        <v>82</v>
      </c>
      <c r="EA3" s="46" t="s">
        <v>80</v>
      </c>
      <c r="EB3" s="10" t="s">
        <v>81</v>
      </c>
      <c r="EC3" s="41" t="s">
        <v>82</v>
      </c>
      <c r="ED3" s="123"/>
      <c r="EE3" s="10" t="s">
        <v>316</v>
      </c>
      <c r="EF3" s="10"/>
      <c r="EG3" s="41"/>
      <c r="EH3" s="46" t="s">
        <v>315</v>
      </c>
      <c r="EI3" s="10"/>
      <c r="EJ3" s="41"/>
      <c r="EK3" s="46" t="s">
        <v>315</v>
      </c>
      <c r="EL3" s="10"/>
      <c r="EM3" s="196"/>
      <c r="EN3" s="10" t="s">
        <v>317</v>
      </c>
      <c r="EO3" s="10"/>
      <c r="EP3" s="41"/>
      <c r="EQ3" s="46" t="s">
        <v>314</v>
      </c>
      <c r="ER3" s="10"/>
      <c r="ES3" s="41"/>
      <c r="ET3" s="46" t="s">
        <v>314</v>
      </c>
      <c r="EU3" s="10"/>
      <c r="EV3" s="196"/>
    </row>
    <row r="4" spans="1:152" s="1" customFormat="1" ht="24" customHeight="1" x14ac:dyDescent="0.25">
      <c r="A4" s="24" t="s">
        <v>75</v>
      </c>
      <c r="B4" s="25"/>
      <c r="C4" s="25"/>
      <c r="D4" s="25"/>
      <c r="E4" s="25"/>
      <c r="F4" s="25"/>
      <c r="G4" s="25"/>
      <c r="H4" s="22"/>
      <c r="I4" s="23"/>
      <c r="J4" s="9"/>
      <c r="K4" s="236" t="s">
        <v>128</v>
      </c>
      <c r="L4" s="236" t="s">
        <v>130</v>
      </c>
      <c r="M4" s="236" t="s">
        <v>130</v>
      </c>
      <c r="N4" s="9"/>
      <c r="O4" s="239"/>
      <c r="P4" s="10" t="s">
        <v>378</v>
      </c>
      <c r="Q4" s="10" t="s">
        <v>378</v>
      </c>
      <c r="R4" s="10" t="s">
        <v>378</v>
      </c>
      <c r="S4" s="10"/>
      <c r="T4" s="10"/>
      <c r="U4" s="10"/>
      <c r="V4" s="17"/>
      <c r="W4" s="103" t="s">
        <v>186</v>
      </c>
      <c r="X4" s="103"/>
      <c r="Y4" s="10" t="s">
        <v>378</v>
      </c>
      <c r="Z4" s="10" t="s">
        <v>378</v>
      </c>
      <c r="AA4" s="10" t="s">
        <v>378</v>
      </c>
      <c r="AB4" s="10" t="s">
        <v>378</v>
      </c>
      <c r="AC4" s="10" t="s">
        <v>378</v>
      </c>
      <c r="AD4" s="10" t="s">
        <v>378</v>
      </c>
      <c r="AE4" s="10"/>
      <c r="AF4" s="10"/>
      <c r="AG4" s="10"/>
      <c r="AH4" s="10"/>
      <c r="AI4" s="10"/>
      <c r="AJ4" s="10"/>
      <c r="AK4" s="17"/>
      <c r="AL4" s="10"/>
      <c r="AM4" s="10" t="s">
        <v>88</v>
      </c>
      <c r="AN4" s="10"/>
      <c r="AO4" s="10"/>
      <c r="AP4" s="232">
        <v>-0.5</v>
      </c>
      <c r="AQ4" s="10"/>
      <c r="AR4" s="10"/>
      <c r="AS4" s="10"/>
      <c r="AT4" s="10"/>
      <c r="AU4" s="10"/>
      <c r="AV4" s="10"/>
      <c r="AW4" s="10"/>
      <c r="AX4" s="10"/>
      <c r="AY4" s="10"/>
      <c r="AZ4" s="10"/>
      <c r="BA4" s="10"/>
      <c r="BB4" s="10"/>
      <c r="BC4" s="10"/>
      <c r="BD4" s="17"/>
      <c r="BE4" s="9"/>
      <c r="BF4" s="9"/>
      <c r="BG4" s="9"/>
      <c r="BH4" s="46"/>
      <c r="BI4" s="10"/>
      <c r="BJ4" s="10"/>
      <c r="BK4" s="46"/>
      <c r="BL4" s="10"/>
      <c r="BM4" s="10"/>
      <c r="BN4" s="46"/>
      <c r="BO4" s="10"/>
      <c r="BP4" s="10"/>
      <c r="BQ4" s="116"/>
      <c r="BR4" s="124">
        <v>0.88480000000000003</v>
      </c>
      <c r="BS4" s="124">
        <v>0.94579999999999997</v>
      </c>
      <c r="BT4" s="124">
        <v>0.97699999999999998</v>
      </c>
      <c r="BU4" s="46"/>
      <c r="BV4" s="10"/>
      <c r="BW4" s="10"/>
      <c r="BX4" s="46"/>
      <c r="BY4" s="10"/>
      <c r="BZ4" s="10"/>
      <c r="CA4" s="46"/>
      <c r="CB4" s="10"/>
      <c r="CC4" s="10"/>
      <c r="CD4" s="123"/>
      <c r="CE4" s="124">
        <v>0.68</v>
      </c>
      <c r="CF4" s="167">
        <v>0.32</v>
      </c>
      <c r="CG4" s="168" t="s">
        <v>281</v>
      </c>
      <c r="CH4" s="168" t="s">
        <v>283</v>
      </c>
      <c r="CI4" s="168" t="s">
        <v>281</v>
      </c>
      <c r="CJ4" s="168" t="s">
        <v>283</v>
      </c>
      <c r="CK4" s="168" t="s">
        <v>281</v>
      </c>
      <c r="CL4" s="170" t="s">
        <v>283</v>
      </c>
      <c r="CM4" s="168" t="s">
        <v>281</v>
      </c>
      <c r="CN4" s="168" t="s">
        <v>283</v>
      </c>
      <c r="CO4" s="168" t="s">
        <v>281</v>
      </c>
      <c r="CP4" s="168" t="s">
        <v>283</v>
      </c>
      <c r="CQ4" s="168" t="s">
        <v>281</v>
      </c>
      <c r="CR4" s="170" t="s">
        <v>283</v>
      </c>
      <c r="CS4" s="168" t="s">
        <v>281</v>
      </c>
      <c r="CT4" s="168" t="s">
        <v>283</v>
      </c>
      <c r="CU4" s="168" t="s">
        <v>281</v>
      </c>
      <c r="CV4" s="168" t="s">
        <v>283</v>
      </c>
      <c r="CW4" s="168" t="s">
        <v>281</v>
      </c>
      <c r="CX4" s="168" t="s">
        <v>283</v>
      </c>
      <c r="CY4" s="123"/>
      <c r="CZ4" s="124" t="s">
        <v>297</v>
      </c>
      <c r="DA4" s="124" t="s">
        <v>310</v>
      </c>
      <c r="DB4" s="168" t="s">
        <v>117</v>
      </c>
      <c r="DC4" s="168" t="s">
        <v>121</v>
      </c>
      <c r="DD4" s="168" t="s">
        <v>122</v>
      </c>
      <c r="DE4" s="168" t="s">
        <v>117</v>
      </c>
      <c r="DF4" s="168" t="s">
        <v>121</v>
      </c>
      <c r="DG4" s="168" t="s">
        <v>122</v>
      </c>
      <c r="DH4" s="168" t="s">
        <v>117</v>
      </c>
      <c r="DI4" s="168" t="s">
        <v>121</v>
      </c>
      <c r="DJ4" s="170" t="s">
        <v>122</v>
      </c>
      <c r="DK4" s="168" t="s">
        <v>117</v>
      </c>
      <c r="DL4" s="168" t="s">
        <v>121</v>
      </c>
      <c r="DM4" s="168" t="s">
        <v>122</v>
      </c>
      <c r="DN4" s="168" t="s">
        <v>117</v>
      </c>
      <c r="DO4" s="168" t="s">
        <v>121</v>
      </c>
      <c r="DP4" s="168" t="s">
        <v>122</v>
      </c>
      <c r="DQ4" s="168" t="s">
        <v>117</v>
      </c>
      <c r="DR4" s="168" t="s">
        <v>121</v>
      </c>
      <c r="DS4" s="170" t="s">
        <v>122</v>
      </c>
      <c r="DT4" s="123"/>
      <c r="DU4" s="10"/>
      <c r="DV4" s="10"/>
      <c r="DW4" s="10"/>
      <c r="DX4" s="46"/>
      <c r="DY4" s="10"/>
      <c r="DZ4" s="41"/>
      <c r="EA4" s="53"/>
      <c r="EB4" s="41"/>
      <c r="EC4" s="41"/>
      <c r="ED4" s="123"/>
      <c r="EE4" s="10" t="s">
        <v>80</v>
      </c>
      <c r="EF4" s="10" t="s">
        <v>81</v>
      </c>
      <c r="EG4" s="41" t="s">
        <v>82</v>
      </c>
      <c r="EH4" s="46" t="s">
        <v>80</v>
      </c>
      <c r="EI4" s="10" t="s">
        <v>81</v>
      </c>
      <c r="EJ4" s="41" t="s">
        <v>82</v>
      </c>
      <c r="EK4" s="46" t="s">
        <v>80</v>
      </c>
      <c r="EL4" s="10" t="s">
        <v>81</v>
      </c>
      <c r="EM4" s="196" t="s">
        <v>82</v>
      </c>
      <c r="EN4" s="10" t="s">
        <v>80</v>
      </c>
      <c r="EO4" s="10" t="s">
        <v>81</v>
      </c>
      <c r="EP4" s="41" t="s">
        <v>82</v>
      </c>
      <c r="EQ4" s="46" t="s">
        <v>80</v>
      </c>
      <c r="ER4" s="10" t="s">
        <v>81</v>
      </c>
      <c r="ES4" s="41" t="s">
        <v>82</v>
      </c>
      <c r="ET4" s="46" t="s">
        <v>80</v>
      </c>
      <c r="EU4" s="10" t="s">
        <v>81</v>
      </c>
      <c r="EV4" s="196" t="s">
        <v>82</v>
      </c>
    </row>
    <row r="5" spans="1:152" x14ac:dyDescent="0.2">
      <c r="A5" s="3" t="s">
        <v>4</v>
      </c>
      <c r="B5">
        <v>1168</v>
      </c>
      <c r="C5">
        <v>23</v>
      </c>
      <c r="D5">
        <v>1.67</v>
      </c>
      <c r="E5">
        <v>0.13</v>
      </c>
      <c r="F5" t="s">
        <v>7</v>
      </c>
      <c r="G5" t="s">
        <v>124</v>
      </c>
      <c r="H5" s="20"/>
      <c r="I5" s="21"/>
      <c r="J5">
        <v>152</v>
      </c>
      <c r="K5" s="94">
        <v>0.28044000000000002</v>
      </c>
      <c r="L5" s="94">
        <v>0.49076999999999998</v>
      </c>
      <c r="M5" s="94">
        <v>0.70109999999999995</v>
      </c>
      <c r="N5">
        <v>1.67</v>
      </c>
      <c r="O5" s="38">
        <v>253.84</v>
      </c>
      <c r="P5" s="27">
        <f>$J5*$K5*$N5</f>
        <v>71.186889600000001</v>
      </c>
      <c r="Q5" s="27">
        <f>J5*L5*N5</f>
        <v>124.57705679999998</v>
      </c>
      <c r="R5" s="27">
        <f>$J5*$M5*$N5</f>
        <v>177.96722399999996</v>
      </c>
      <c r="S5" s="27">
        <f>$P5+$P6+$P7+$P8+$P9+$P10+$P11+$P12+$P13+$P14+$P15+$P16+$P17+$P18+$P19+$P20+$P21+$P22</f>
        <v>1416.5809632</v>
      </c>
      <c r="T5" s="27">
        <f>Q5+Q6+Q7+Q8+Q9+Q10+Q11+Q12+Q13+Q14+Q15+Q16+Q17+Q18+Q19+Q20+Q21+Q22</f>
        <v>2479.0166856000001</v>
      </c>
      <c r="U5" s="27">
        <f>$R5+$R6+$R7+$R8+$R9+$R10+$R11+$R12+$R13+$R14+$R15+$R16+$R17+$R18+$R19+$R20+$R21+$R22</f>
        <v>3541.4524079999997</v>
      </c>
      <c r="V5" s="18"/>
      <c r="W5">
        <v>2.3999999999999998E-3</v>
      </c>
      <c r="X5">
        <v>0.99760000000000004</v>
      </c>
      <c r="Y5" s="94">
        <f xml:space="preserve"> P5 * W5</f>
        <v>0.17084853504</v>
      </c>
      <c r="Z5" s="94">
        <f xml:space="preserve"> Q5 * W5</f>
        <v>0.29898493631999995</v>
      </c>
      <c r="AA5" s="94">
        <f xml:space="preserve"> R5 * W5</f>
        <v>0.42712133759999987</v>
      </c>
      <c r="AB5" s="94">
        <f xml:space="preserve"> P5 * X5</f>
        <v>71.016041064960007</v>
      </c>
      <c r="AC5" s="94">
        <f xml:space="preserve"> Q5 * X5</f>
        <v>124.27807186367998</v>
      </c>
      <c r="AD5" s="94">
        <f xml:space="preserve"> R5 * X5</f>
        <v>177.54010266239996</v>
      </c>
      <c r="AE5" s="27">
        <f xml:space="preserve"> S5 * W5</f>
        <v>3.39979431168</v>
      </c>
      <c r="AF5" s="27">
        <f xml:space="preserve"> T5 * W5</f>
        <v>5.9496400454399998</v>
      </c>
      <c r="AG5" s="27">
        <f xml:space="preserve"> U5 * W5</f>
        <v>8.4994857791999987</v>
      </c>
      <c r="AH5" s="27">
        <f xml:space="preserve"> S5 * X5</f>
        <v>1413.1811688883201</v>
      </c>
      <c r="AI5" s="27">
        <f xml:space="preserve"> T5 * X5</f>
        <v>2473.0670455545601</v>
      </c>
      <c r="AJ5" s="27">
        <f xml:space="preserve"> U5 * X5</f>
        <v>3532.9529222207998</v>
      </c>
      <c r="AK5" s="18"/>
      <c r="AL5">
        <v>160</v>
      </c>
      <c r="AM5" s="34">
        <f>$AL5/8760</f>
        <v>1.8264840182648401E-2</v>
      </c>
      <c r="AN5" s="34">
        <f t="shared" ref="AN5:AN22" si="0">1- AM5</f>
        <v>0.9817351598173516</v>
      </c>
      <c r="AO5" s="94">
        <f>$AB5*$AM5</f>
        <v>1.2970966404558906</v>
      </c>
      <c r="AP5" s="94">
        <f xml:space="preserve"> AO5 / 2</f>
        <v>0.64854832022794529</v>
      </c>
      <c r="AQ5" s="94">
        <f>$AB5*$AN5 + $AP5</f>
        <v>70.367492744732061</v>
      </c>
      <c r="AR5" s="27">
        <f xml:space="preserve"> SUM(AP5:AP22)</f>
        <v>7.4043346150786862</v>
      </c>
      <c r="AS5" s="27">
        <f xml:space="preserve"> SUM(AQ5:AQ22)</f>
        <v>1405.7768342732413</v>
      </c>
      <c r="AT5" s="94">
        <f>$AM5*$AC5</f>
        <v>2.269919120797808</v>
      </c>
      <c r="AU5" s="94">
        <f xml:space="preserve"> AT5 / 2</f>
        <v>1.134959560398904</v>
      </c>
      <c r="AV5" s="27">
        <f>$AN5*$AC5 + AU5</f>
        <v>123.14311230328107</v>
      </c>
      <c r="AW5" s="27">
        <f xml:space="preserve"> SUM(AU5:AU22)</f>
        <v>12.9575855763877</v>
      </c>
      <c r="AX5" s="27">
        <f>$AV5+$AV6+$AV7+$AV8+$AV9+$AV10+$AV11+$AV12+$AV13+$AV14+$AV15+$AV16+$AV17+$AV18+$AV19+$AV20+$AV21+$AV22</f>
        <v>2460.1094599781727</v>
      </c>
      <c r="AY5" s="94">
        <f>$AM5*$AD5</f>
        <v>3.2427416011397252</v>
      </c>
      <c r="AZ5" s="94">
        <f xml:space="preserve"> AY5 / 2</f>
        <v>1.6213708005698626</v>
      </c>
      <c r="BA5" s="27">
        <f>$AN5*$AD5 + AZ5</f>
        <v>175.91873186183008</v>
      </c>
      <c r="BB5" s="27">
        <f>SUM(AZ5:AZ22)</f>
        <v>18.510836537696711</v>
      </c>
      <c r="BC5" s="27">
        <f>$BA5+$BA6+$BA7+$BA8+$BA9+$BA10+$BA11+$BA12+$BA13+$BA14+$BA15+$BA16+$BA17+$BA18+$BA19+$BA20+$BA21+$BA22</f>
        <v>3514.442085683103</v>
      </c>
      <c r="BD5" s="18"/>
      <c r="BE5" s="34">
        <v>0.1152</v>
      </c>
      <c r="BF5" s="34">
        <v>5.4199999999999998E-2</v>
      </c>
      <c r="BG5">
        <v>2.3E-2</v>
      </c>
      <c r="BH5" s="47">
        <f>$AS5*$BE5</f>
        <v>161.94549130827738</v>
      </c>
      <c r="BI5" s="27">
        <f>$AS5*$BF5</f>
        <v>76.193104417609675</v>
      </c>
      <c r="BJ5" s="27">
        <f>$AS5*$BG5</f>
        <v>32.332867188284553</v>
      </c>
      <c r="BK5" s="47">
        <f>$AX5*$BE5</f>
        <v>283.40460978948551</v>
      </c>
      <c r="BL5" s="27">
        <f>$AX5*$BF5</f>
        <v>133.33793273081696</v>
      </c>
      <c r="BM5" s="27">
        <f>$AX5*$BG5</f>
        <v>56.582517579497974</v>
      </c>
      <c r="BN5" s="47">
        <f>$BC5*$BE5</f>
        <v>404.86372827069346</v>
      </c>
      <c r="BO5" s="27">
        <f>$BC5*$BF5</f>
        <v>190.48276104402419</v>
      </c>
      <c r="BP5" s="27">
        <f>$BC5*$BG5</f>
        <v>80.832167970711367</v>
      </c>
      <c r="BQ5" s="117"/>
      <c r="BR5" s="34">
        <f xml:space="preserve"> 1 - BE5</f>
        <v>0.88480000000000003</v>
      </c>
      <c r="BS5" s="34">
        <f xml:space="preserve"> 1 - BF5</f>
        <v>0.94579999999999997</v>
      </c>
      <c r="BT5">
        <f xml:space="preserve"> 1 - BG5</f>
        <v>0.97699999999999998</v>
      </c>
      <c r="BU5" s="47">
        <f xml:space="preserve"> AS5 * BR5</f>
        <v>1243.8313429649641</v>
      </c>
      <c r="BV5" s="27">
        <f xml:space="preserve"> AS5 * BS5</f>
        <v>1329.5837298556316</v>
      </c>
      <c r="BW5" s="27">
        <f xml:space="preserve"> AS5 * BT5</f>
        <v>1373.4439670849567</v>
      </c>
      <c r="BX5" s="47">
        <f xml:space="preserve"> AX5 * BR5</f>
        <v>2176.7048501886875</v>
      </c>
      <c r="BY5" s="27">
        <f xml:space="preserve"> AX5 * BS5</f>
        <v>2326.7715272473556</v>
      </c>
      <c r="BZ5" s="27">
        <f xml:space="preserve"> AX5 * BT5</f>
        <v>2403.5269423986747</v>
      </c>
      <c r="CA5" s="47">
        <f xml:space="preserve"> BC5 * BR5</f>
        <v>3109.5783574124098</v>
      </c>
      <c r="CB5" s="27">
        <f xml:space="preserve"> BC5 * BS5</f>
        <v>3323.9593246390787</v>
      </c>
      <c r="CC5" s="27">
        <f xml:space="preserve"> BC5 * BT5</f>
        <v>3433.6099177123915</v>
      </c>
      <c r="CE5">
        <f xml:space="preserve"> 1 - 0.32</f>
        <v>0.67999999999999994</v>
      </c>
      <c r="CF5">
        <f>1-0.68</f>
        <v>0.31999999999999995</v>
      </c>
      <c r="CG5" s="27">
        <f xml:space="preserve"> BU5 * CE5</f>
        <v>845.80531321617548</v>
      </c>
      <c r="CH5" s="27">
        <f xml:space="preserve"> BU5 * CF5</f>
        <v>398.02602974878846</v>
      </c>
      <c r="CI5" s="27">
        <f xml:space="preserve"> BV5 * CE5</f>
        <v>904.11693630182947</v>
      </c>
      <c r="CJ5" s="27">
        <f xml:space="preserve"> BV5 * CF5</f>
        <v>425.46679355380206</v>
      </c>
      <c r="CK5" s="27">
        <f xml:space="preserve"> BW5 * CE5</f>
        <v>933.94189761777045</v>
      </c>
      <c r="CL5" s="27">
        <f xml:space="preserve"> BW5 * CF5</f>
        <v>439.50206946718606</v>
      </c>
      <c r="CM5" s="27">
        <f xml:space="preserve"> BX5 * CE5</f>
        <v>1480.1592981283075</v>
      </c>
      <c r="CN5" s="27">
        <f xml:space="preserve"> BX5 * CF5</f>
        <v>696.54555206037992</v>
      </c>
      <c r="CO5" s="27">
        <f xml:space="preserve"> BY5 * CE5</f>
        <v>1582.2046385282017</v>
      </c>
      <c r="CP5" s="27">
        <f xml:space="preserve"> BY5 * CF5</f>
        <v>744.56688871915367</v>
      </c>
      <c r="CQ5" s="27">
        <f xml:space="preserve"> BZ5 * CE5</f>
        <v>1634.3983208310985</v>
      </c>
      <c r="CR5" s="27">
        <f xml:space="preserve"> BZ5 * CF5</f>
        <v>769.12862156757581</v>
      </c>
      <c r="CS5" s="27">
        <f xml:space="preserve"> CA5 * CE5</f>
        <v>2114.5132830404386</v>
      </c>
      <c r="CT5" s="27">
        <f xml:space="preserve"> CA5 * CF5</f>
        <v>995.06507437197104</v>
      </c>
      <c r="CU5" s="27">
        <f xml:space="preserve"> CB5 * CE5</f>
        <v>2260.2923407545732</v>
      </c>
      <c r="CV5" s="27">
        <f xml:space="preserve"> CB5 * CF5</f>
        <v>1063.666983884505</v>
      </c>
      <c r="CW5" s="27">
        <f xml:space="preserve"> CC5 * CE5</f>
        <v>2334.8547440444258</v>
      </c>
      <c r="CX5" s="27">
        <f xml:space="preserve"> CC5 * CF5</f>
        <v>1098.7551736679652</v>
      </c>
      <c r="CZ5">
        <f xml:space="preserve"> 1 - 0.01</f>
        <v>0.99</v>
      </c>
      <c r="DA5">
        <v>0.75</v>
      </c>
      <c r="DB5" s="27">
        <f xml:space="preserve"> CG5 * CZ5</f>
        <v>837.34726008401367</v>
      </c>
      <c r="DC5" s="27">
        <f xml:space="preserve"> CI5 * CZ5</f>
        <v>895.07576693881117</v>
      </c>
      <c r="DD5" s="27">
        <f xml:space="preserve"> CK5 * CZ5</f>
        <v>924.60247864159271</v>
      </c>
      <c r="DE5" s="27">
        <f xml:space="preserve"> CM5 * CZ5</f>
        <v>1465.3577051470243</v>
      </c>
      <c r="DF5" s="27">
        <f xml:space="preserve"> CO5 * CZ5</f>
        <v>1566.3825921429197</v>
      </c>
      <c r="DG5" s="27">
        <f xml:space="preserve"> CQ5 * CZ5</f>
        <v>1618.0543376227874</v>
      </c>
      <c r="DH5" s="27">
        <f xml:space="preserve"> CS5 * CZ5</f>
        <v>2093.3681502100344</v>
      </c>
      <c r="DI5" s="27">
        <f xml:space="preserve"> CU5 * CZ5</f>
        <v>2237.6894173470273</v>
      </c>
      <c r="DJ5" s="27">
        <f xml:space="preserve"> CW5 * CZ5</f>
        <v>2311.5061966039816</v>
      </c>
      <c r="DK5" s="27">
        <f xml:space="preserve"> CG5 * DA5</f>
        <v>634.35398491213164</v>
      </c>
      <c r="DL5" s="27">
        <f xml:space="preserve"> CI5 * DA5</f>
        <v>678.08770222637213</v>
      </c>
      <c r="DM5" s="27">
        <f xml:space="preserve"> CK5 * DA5</f>
        <v>700.45642321332787</v>
      </c>
      <c r="DN5" s="27">
        <f xml:space="preserve"> CM5 * DA5</f>
        <v>1110.1194735962306</v>
      </c>
      <c r="DO5" s="27">
        <f xml:space="preserve"> CO5 * DA5</f>
        <v>1186.6534788961512</v>
      </c>
      <c r="DP5" s="27">
        <f xml:space="preserve"> CQ5 * DA5</f>
        <v>1225.798740623324</v>
      </c>
      <c r="DQ5" s="27">
        <f xml:space="preserve"> CS5 * DA5</f>
        <v>1585.8849622803291</v>
      </c>
      <c r="DR5" s="27">
        <f xml:space="preserve"> CU5 * DA5</f>
        <v>1695.2192555659299</v>
      </c>
      <c r="DS5" s="27">
        <f xml:space="preserve"> CW5 * DA5</f>
        <v>1751.1410580333195</v>
      </c>
      <c r="DU5" s="27">
        <f>$BH5+$AR5 + $AE5</f>
        <v>172.74962023503608</v>
      </c>
      <c r="DV5" s="27">
        <f>$BI5+$AR5 + $AE5</f>
        <v>86.997233344368354</v>
      </c>
      <c r="DW5" s="27">
        <f>$BJ5+$AR5 + $AE5</f>
        <v>43.136996115043239</v>
      </c>
      <c r="DX5" s="47">
        <f>$BK5+$AW5 + $AF5</f>
        <v>302.31183541131321</v>
      </c>
      <c r="DY5" s="27">
        <f>$BL5+$AW5 +$AF5</f>
        <v>152.24515835264464</v>
      </c>
      <c r="DZ5" s="42">
        <f>$BM5+$AW5 +AF5</f>
        <v>75.48974320132568</v>
      </c>
      <c r="EA5" s="54">
        <f>$BB5+$BN5 + AG5</f>
        <v>431.87405058759015</v>
      </c>
      <c r="EB5" s="42">
        <f>$BB5+$BO5 +AG5</f>
        <v>217.49308336092091</v>
      </c>
      <c r="EC5" s="42">
        <f>$BB5+$BP5 +AG5</f>
        <v>107.84249028760809</v>
      </c>
      <c r="ED5" s="121"/>
      <c r="EE5" s="27">
        <f xml:space="preserve"> DK5 + DU5</f>
        <v>807.10360514716774</v>
      </c>
      <c r="EF5" s="27">
        <f xml:space="preserve"> DL5 + DV5</f>
        <v>765.08493557074053</v>
      </c>
      <c r="EG5" s="27">
        <f>DM5 + DW5</f>
        <v>743.59341932837106</v>
      </c>
      <c r="EH5" s="47">
        <f t="shared" ref="EH5:EM5" si="1" xml:space="preserve"> DN5 + DX5</f>
        <v>1412.4313090075439</v>
      </c>
      <c r="EI5" s="27">
        <f t="shared" si="1"/>
        <v>1338.8986372487959</v>
      </c>
      <c r="EJ5" s="42">
        <f t="shared" si="1"/>
        <v>1301.2884838246496</v>
      </c>
      <c r="EK5" s="54">
        <f t="shared" si="1"/>
        <v>2017.7590128679192</v>
      </c>
      <c r="EL5" s="42">
        <f t="shared" si="1"/>
        <v>1912.7123389268509</v>
      </c>
      <c r="EM5" s="197">
        <f t="shared" si="1"/>
        <v>1858.9835483209276</v>
      </c>
      <c r="EN5" s="27">
        <f xml:space="preserve"> DU5 + DB5</f>
        <v>1010.0968803190498</v>
      </c>
      <c r="EO5" s="27">
        <f xml:space="preserve"> DC5 + DV5</f>
        <v>982.07300028317957</v>
      </c>
      <c r="EP5" s="27">
        <f xml:space="preserve"> DW5 + DD5</f>
        <v>967.7394747566359</v>
      </c>
      <c r="EQ5" s="47">
        <f xml:space="preserve"> DE5 + DX5</f>
        <v>1767.6695405583375</v>
      </c>
      <c r="ER5" s="27">
        <f xml:space="preserve"> DF5 + DY5</f>
        <v>1718.6277504955644</v>
      </c>
      <c r="ES5" s="42">
        <f xml:space="preserve"> DG5 + DZ5</f>
        <v>1693.5440808241131</v>
      </c>
      <c r="ET5" s="54">
        <f xml:space="preserve"> DH5 + EA5</f>
        <v>2525.2422007976247</v>
      </c>
      <c r="EU5" s="42">
        <f xml:space="preserve"> DI5 +EB5</f>
        <v>2455.1825007079483</v>
      </c>
      <c r="EV5" s="197">
        <f xml:space="preserve"> DJ5 + EC5</f>
        <v>2419.3486868915898</v>
      </c>
    </row>
    <row r="6" spans="1:152" x14ac:dyDescent="0.2">
      <c r="A6" s="3" t="s">
        <v>8</v>
      </c>
      <c r="B6">
        <v>1128</v>
      </c>
      <c r="C6">
        <v>41</v>
      </c>
      <c r="D6">
        <v>2.71</v>
      </c>
      <c r="E6">
        <v>0.65</v>
      </c>
      <c r="F6" t="s">
        <v>13</v>
      </c>
      <c r="G6" t="s">
        <v>11</v>
      </c>
      <c r="H6" s="20"/>
      <c r="I6" s="21"/>
      <c r="J6">
        <v>798</v>
      </c>
      <c r="K6" s="94">
        <v>0.28044000000000002</v>
      </c>
      <c r="L6" s="94">
        <v>0.49076999999999998</v>
      </c>
      <c r="M6" s="94">
        <v>0.70109999999999995</v>
      </c>
      <c r="N6">
        <v>0.65</v>
      </c>
      <c r="O6" s="38">
        <v>518.70000000000005</v>
      </c>
      <c r="P6" s="27">
        <f t="shared" ref="P6:P22" si="2">$J6*$K6*$N6</f>
        <v>145.46422800000002</v>
      </c>
      <c r="Q6" s="27">
        <f>J6*L6*N6</f>
        <v>254.562399</v>
      </c>
      <c r="R6" s="27">
        <f t="shared" ref="R6:R22" si="3">$J6*$M6*$N6</f>
        <v>363.66057000000001</v>
      </c>
      <c r="S6" s="27"/>
      <c r="T6" s="27"/>
      <c r="U6" s="27"/>
      <c r="V6" s="18"/>
      <c r="W6">
        <v>2.3999999999999998E-3</v>
      </c>
      <c r="X6">
        <v>0.99760000000000004</v>
      </c>
      <c r="Y6" s="94">
        <f t="shared" ref="Y6:Y22" si="4" xml:space="preserve"> P6 * W6</f>
        <v>0.3491141472</v>
      </c>
      <c r="Z6" s="94">
        <f t="shared" ref="Z6:Z22" si="5" xml:space="preserve"> Q6 * W6</f>
        <v>0.61094975759999992</v>
      </c>
      <c r="AA6" s="94">
        <f t="shared" ref="AA6:AA22" si="6" xml:space="preserve"> R6 * W6</f>
        <v>0.87278536799999995</v>
      </c>
      <c r="AB6" s="94">
        <f t="shared" ref="AB6:AB22" si="7" xml:space="preserve"> P6 * X6</f>
        <v>145.11511385280002</v>
      </c>
      <c r="AC6" s="94">
        <f t="shared" ref="AC6:AC22" si="8" xml:space="preserve"> Q6 * X6</f>
        <v>253.9514492424</v>
      </c>
      <c r="AD6" s="94">
        <f t="shared" ref="AD6:AD22" si="9" xml:space="preserve"> R6 * X6</f>
        <v>362.78778463200001</v>
      </c>
      <c r="AK6" s="18"/>
      <c r="AL6">
        <v>0</v>
      </c>
      <c r="AM6" s="34">
        <f t="shared" ref="AM6:AM21" si="10">$AL6/8760</f>
        <v>0</v>
      </c>
      <c r="AN6" s="34">
        <f t="shared" si="0"/>
        <v>1</v>
      </c>
      <c r="AO6" s="94">
        <f t="shared" ref="AO6:AO22" si="11">$AB6*$AM6</f>
        <v>0</v>
      </c>
      <c r="AP6" s="94">
        <f t="shared" ref="AP6:AP22" si="12" xml:space="preserve"> AO6 / 2</f>
        <v>0</v>
      </c>
      <c r="AQ6" s="94">
        <f t="shared" ref="AQ6:AQ22" si="13">$AB6*$AN6 + AP6</f>
        <v>145.11511385280002</v>
      </c>
      <c r="AR6" s="27"/>
      <c r="AS6" s="27"/>
      <c r="AT6" s="94">
        <f t="shared" ref="AT6:AT22" si="14">$AM6*$AC6</f>
        <v>0</v>
      </c>
      <c r="AU6" s="94">
        <f t="shared" ref="AU6:AU22" si="15" xml:space="preserve"> AT6 / 2</f>
        <v>0</v>
      </c>
      <c r="AV6" s="27">
        <f t="shared" ref="AV6:AV22" si="16">$AN6*$AC6 + AU6</f>
        <v>253.9514492424</v>
      </c>
      <c r="AW6" s="27"/>
      <c r="AX6" s="27"/>
      <c r="AY6" s="94">
        <f t="shared" ref="AY6:AY22" si="17">$AM6*$AD6</f>
        <v>0</v>
      </c>
      <c r="AZ6" s="94">
        <f t="shared" ref="AZ6:AZ22" si="18" xml:space="preserve"> AY6 / 2</f>
        <v>0</v>
      </c>
      <c r="BA6" s="27">
        <f t="shared" ref="BA6:BA22" si="19">$AN6*$AD6 + AZ6</f>
        <v>362.78778463200001</v>
      </c>
      <c r="BB6" s="27"/>
      <c r="BC6" s="27"/>
      <c r="BD6" s="18"/>
      <c r="BH6" s="3"/>
      <c r="BK6" s="3"/>
      <c r="BN6" s="3"/>
      <c r="BQ6" s="117"/>
      <c r="BU6" s="3"/>
      <c r="BX6" s="3"/>
      <c r="CA6" s="3"/>
      <c r="DX6" s="3"/>
      <c r="DZ6" s="38"/>
      <c r="EA6" s="55"/>
      <c r="EB6" s="38"/>
      <c r="EC6" s="38"/>
      <c r="ED6" s="121"/>
      <c r="EH6" s="3"/>
      <c r="EJ6" s="38"/>
      <c r="EK6" s="55"/>
      <c r="EL6" s="38"/>
      <c r="EM6" s="198"/>
      <c r="EQ6" s="3"/>
      <c r="ES6" s="38"/>
      <c r="ET6" s="55"/>
      <c r="EU6" s="38"/>
      <c r="EV6" s="198"/>
    </row>
    <row r="7" spans="1:152" x14ac:dyDescent="0.2">
      <c r="A7" s="3" t="s">
        <v>10</v>
      </c>
      <c r="B7">
        <v>1869</v>
      </c>
      <c r="C7">
        <v>704</v>
      </c>
      <c r="D7">
        <v>2.25</v>
      </c>
      <c r="F7" t="s">
        <v>14</v>
      </c>
      <c r="G7" t="s">
        <v>125</v>
      </c>
      <c r="H7" s="20"/>
      <c r="I7" s="21"/>
      <c r="J7">
        <v>704</v>
      </c>
      <c r="K7" s="94">
        <v>0.28044000000000002</v>
      </c>
      <c r="L7" s="94">
        <v>0.49076999999999998</v>
      </c>
      <c r="M7" s="94">
        <v>0.70109999999999995</v>
      </c>
      <c r="N7">
        <v>2.25</v>
      </c>
      <c r="O7" s="38">
        <v>1584</v>
      </c>
      <c r="P7" s="27">
        <f t="shared" si="2"/>
        <v>444.21696000000003</v>
      </c>
      <c r="Q7" s="27">
        <f t="shared" ref="Q7:Q22" si="20">J7*L7*N7</f>
        <v>777.37968000000001</v>
      </c>
      <c r="R7" s="27">
        <f t="shared" si="3"/>
        <v>1110.5423999999998</v>
      </c>
      <c r="S7" s="27"/>
      <c r="T7" s="27"/>
      <c r="U7" s="27"/>
      <c r="V7" s="18"/>
      <c r="W7">
        <v>2.3999999999999998E-3</v>
      </c>
      <c r="X7">
        <v>0.99760000000000004</v>
      </c>
      <c r="Y7" s="94">
        <f t="shared" si="4"/>
        <v>1.066120704</v>
      </c>
      <c r="Z7" s="94">
        <f t="shared" si="5"/>
        <v>1.8657112319999998</v>
      </c>
      <c r="AA7" s="94">
        <f t="shared" si="6"/>
        <v>2.6653017599999993</v>
      </c>
      <c r="AB7" s="94">
        <f t="shared" si="7"/>
        <v>443.15083929600007</v>
      </c>
      <c r="AC7" s="94">
        <f t="shared" si="8"/>
        <v>775.51396876800004</v>
      </c>
      <c r="AD7" s="94">
        <f t="shared" si="9"/>
        <v>1107.8770982399999</v>
      </c>
      <c r="AK7" s="18"/>
      <c r="AL7">
        <v>4</v>
      </c>
      <c r="AM7" s="34">
        <f t="shared" si="10"/>
        <v>4.5662100456621003E-4</v>
      </c>
      <c r="AN7" s="34">
        <f t="shared" si="0"/>
        <v>0.99954337899543377</v>
      </c>
      <c r="AO7" s="94">
        <f t="shared" si="11"/>
        <v>0.20235198141369864</v>
      </c>
      <c r="AP7" s="94">
        <f t="shared" si="12"/>
        <v>0.10117599070684932</v>
      </c>
      <c r="AQ7" s="94">
        <f t="shared" si="13"/>
        <v>443.04966330529322</v>
      </c>
      <c r="AR7" s="27"/>
      <c r="AS7" s="27"/>
      <c r="AT7" s="94">
        <f t="shared" si="14"/>
        <v>0.35411596747397261</v>
      </c>
      <c r="AU7" s="94">
        <f t="shared" si="15"/>
        <v>0.17705798373698631</v>
      </c>
      <c r="AV7" s="27">
        <f t="shared" si="16"/>
        <v>775.33691078426307</v>
      </c>
      <c r="AW7" s="27"/>
      <c r="AX7" s="27"/>
      <c r="AY7" s="94">
        <f t="shared" si="17"/>
        <v>0.50587995353424653</v>
      </c>
      <c r="AZ7" s="94">
        <f t="shared" si="18"/>
        <v>0.25293997676712326</v>
      </c>
      <c r="BA7" s="27">
        <f t="shared" si="19"/>
        <v>1107.6241582632326</v>
      </c>
      <c r="BB7" s="27"/>
      <c r="BC7" s="27"/>
      <c r="BD7" s="18"/>
      <c r="BH7" s="3"/>
      <c r="BK7" s="3"/>
      <c r="BN7" s="3"/>
      <c r="BQ7" s="117"/>
      <c r="BU7" s="3"/>
      <c r="BX7" s="3"/>
      <c r="CA7" s="3"/>
      <c r="DX7" s="3"/>
      <c r="DZ7" s="38"/>
      <c r="EA7" s="55"/>
      <c r="EB7" s="38"/>
      <c r="EC7" s="38"/>
      <c r="ED7" s="121"/>
      <c r="EH7" s="3"/>
      <c r="EJ7" s="38"/>
      <c r="EK7" s="55"/>
      <c r="EL7" s="38"/>
      <c r="EM7" s="198"/>
      <c r="EQ7" s="3"/>
      <c r="ES7" s="38"/>
      <c r="ET7" s="55"/>
      <c r="EU7" s="38"/>
      <c r="EV7" s="198"/>
    </row>
    <row r="8" spans="1:152" x14ac:dyDescent="0.2">
      <c r="A8" s="3" t="s">
        <v>12</v>
      </c>
      <c r="B8">
        <v>1239</v>
      </c>
      <c r="C8">
        <v>1221</v>
      </c>
      <c r="D8">
        <v>0.17</v>
      </c>
      <c r="F8" t="s">
        <v>15</v>
      </c>
      <c r="G8" t="s">
        <v>126</v>
      </c>
      <c r="H8" s="20"/>
      <c r="I8" s="21"/>
      <c r="J8">
        <v>211</v>
      </c>
      <c r="K8" s="94">
        <v>0.28044000000000002</v>
      </c>
      <c r="L8" s="94">
        <v>0.49076999999999998</v>
      </c>
      <c r="M8" s="94">
        <v>0.70109999999999995</v>
      </c>
      <c r="N8">
        <v>0.17</v>
      </c>
      <c r="O8" s="38">
        <v>35.869999999999997</v>
      </c>
      <c r="P8" s="27">
        <f t="shared" si="2"/>
        <v>10.059382800000002</v>
      </c>
      <c r="Q8" s="27">
        <f t="shared" si="20"/>
        <v>17.603919900000001</v>
      </c>
      <c r="R8" s="27">
        <f t="shared" si="3"/>
        <v>25.148457000000001</v>
      </c>
      <c r="S8" s="27"/>
      <c r="T8" s="27"/>
      <c r="U8" s="27"/>
      <c r="V8" s="18"/>
      <c r="W8">
        <v>2.3999999999999998E-3</v>
      </c>
      <c r="X8">
        <v>0.99760000000000004</v>
      </c>
      <c r="Y8" s="94">
        <f t="shared" si="4"/>
        <v>2.4142518720000002E-2</v>
      </c>
      <c r="Z8" s="94">
        <f t="shared" si="5"/>
        <v>4.2249407759999996E-2</v>
      </c>
      <c r="AA8" s="94">
        <f t="shared" si="6"/>
        <v>6.0356296799999994E-2</v>
      </c>
      <c r="AB8" s="94">
        <f t="shared" si="7"/>
        <v>10.035240281280002</v>
      </c>
      <c r="AC8" s="94">
        <f t="shared" si="8"/>
        <v>17.561670492240001</v>
      </c>
      <c r="AD8" s="94">
        <f t="shared" si="9"/>
        <v>25.088100703200002</v>
      </c>
      <c r="AK8" s="18"/>
      <c r="AL8">
        <v>266</v>
      </c>
      <c r="AM8" s="34">
        <f t="shared" si="10"/>
        <v>3.0365296803652967E-2</v>
      </c>
      <c r="AN8" s="34">
        <f t="shared" si="0"/>
        <v>0.96963470319634704</v>
      </c>
      <c r="AO8" s="94">
        <f t="shared" si="11"/>
        <v>0.30472304963704117</v>
      </c>
      <c r="AP8" s="94">
        <f t="shared" si="12"/>
        <v>0.15236152481852058</v>
      </c>
      <c r="AQ8" s="94">
        <f t="shared" si="13"/>
        <v>9.8828787564614817</v>
      </c>
      <c r="AR8" s="27"/>
      <c r="AS8" s="27"/>
      <c r="AT8" s="94">
        <f t="shared" si="14"/>
        <v>0.53326533686482191</v>
      </c>
      <c r="AU8" s="94">
        <f t="shared" si="15"/>
        <v>0.26663266843241096</v>
      </c>
      <c r="AV8" s="27">
        <f t="shared" si="16"/>
        <v>17.29503782380759</v>
      </c>
      <c r="AW8" s="27"/>
      <c r="AX8" s="27"/>
      <c r="AY8" s="94">
        <f t="shared" si="17"/>
        <v>0.76180762409260283</v>
      </c>
      <c r="AZ8" s="94">
        <f t="shared" si="18"/>
        <v>0.38090381204630142</v>
      </c>
      <c r="BA8" s="27">
        <f t="shared" si="19"/>
        <v>24.7071968911537</v>
      </c>
      <c r="BB8" s="27"/>
      <c r="BC8" s="27"/>
      <c r="BD8" s="18"/>
      <c r="BH8" s="3"/>
      <c r="BK8" s="3"/>
      <c r="BN8" s="3"/>
      <c r="BQ8" s="117"/>
      <c r="BU8" s="3"/>
      <c r="BX8" s="3"/>
      <c r="CA8" s="3"/>
      <c r="DX8" s="3"/>
      <c r="DZ8" s="38"/>
      <c r="EA8" s="55"/>
      <c r="EB8" s="38"/>
      <c r="EC8" s="38"/>
      <c r="ED8" s="121"/>
      <c r="EH8" s="3"/>
      <c r="EJ8" s="38"/>
      <c r="EK8" s="55"/>
      <c r="EL8" s="38"/>
      <c r="EM8" s="198"/>
      <c r="EQ8" s="3"/>
      <c r="ES8" s="38"/>
      <c r="ET8" s="55"/>
      <c r="EU8" s="38"/>
      <c r="EV8" s="198"/>
    </row>
    <row r="9" spans="1:152" x14ac:dyDescent="0.2">
      <c r="A9" s="3" t="s">
        <v>17</v>
      </c>
      <c r="B9">
        <v>1700.5</v>
      </c>
      <c r="C9">
        <v>744</v>
      </c>
      <c r="D9">
        <v>0.74</v>
      </c>
      <c r="F9" t="s">
        <v>18</v>
      </c>
      <c r="G9" t="s">
        <v>126</v>
      </c>
      <c r="H9" s="20"/>
      <c r="I9" s="21"/>
      <c r="J9">
        <v>1258</v>
      </c>
      <c r="K9" s="94">
        <v>0.28044000000000002</v>
      </c>
      <c r="L9" s="94">
        <v>0.49076999999999998</v>
      </c>
      <c r="M9" s="94">
        <v>0.70109999999999995</v>
      </c>
      <c r="N9">
        <v>0.74</v>
      </c>
      <c r="O9" s="38">
        <v>930.92</v>
      </c>
      <c r="P9" s="27">
        <f t="shared" si="2"/>
        <v>261.06720480000001</v>
      </c>
      <c r="Q9" s="27">
        <f t="shared" si="20"/>
        <v>456.86760839999994</v>
      </c>
      <c r="R9" s="27">
        <f t="shared" si="3"/>
        <v>652.66801199999998</v>
      </c>
      <c r="S9" s="27"/>
      <c r="T9" s="27"/>
      <c r="U9" s="27"/>
      <c r="V9" s="18"/>
      <c r="W9">
        <v>2.3999999999999998E-3</v>
      </c>
      <c r="X9">
        <v>0.99760000000000004</v>
      </c>
      <c r="Y9" s="94">
        <f t="shared" si="4"/>
        <v>0.62656129151999995</v>
      </c>
      <c r="Z9" s="94">
        <f t="shared" si="5"/>
        <v>1.0964822601599997</v>
      </c>
      <c r="AA9" s="94">
        <f t="shared" si="6"/>
        <v>1.5664032287999998</v>
      </c>
      <c r="AB9" s="94">
        <f t="shared" si="7"/>
        <v>260.44064350848004</v>
      </c>
      <c r="AC9" s="94">
        <f t="shared" si="8"/>
        <v>455.77112613983996</v>
      </c>
      <c r="AD9" s="94">
        <f t="shared" si="9"/>
        <v>651.10160877119995</v>
      </c>
      <c r="AK9" s="18"/>
      <c r="AL9">
        <v>80</v>
      </c>
      <c r="AM9" s="34">
        <f t="shared" si="10"/>
        <v>9.1324200913242004E-3</v>
      </c>
      <c r="AN9" s="34">
        <f t="shared" si="0"/>
        <v>0.9908675799086758</v>
      </c>
      <c r="AO9" s="94">
        <f t="shared" si="11"/>
        <v>2.3784533653742468</v>
      </c>
      <c r="AP9" s="94">
        <f t="shared" si="12"/>
        <v>1.1892266826871234</v>
      </c>
      <c r="AQ9" s="94">
        <f t="shared" si="13"/>
        <v>259.25141682579294</v>
      </c>
      <c r="AR9" s="27"/>
      <c r="AS9" s="27"/>
      <c r="AT9" s="94">
        <f t="shared" si="14"/>
        <v>4.1622933894049305</v>
      </c>
      <c r="AU9" s="94">
        <f t="shared" si="15"/>
        <v>2.0811466947024653</v>
      </c>
      <c r="AV9" s="27">
        <f t="shared" si="16"/>
        <v>453.68997944513751</v>
      </c>
      <c r="AW9" s="27"/>
      <c r="AX9" s="27"/>
      <c r="AY9" s="94">
        <f t="shared" si="17"/>
        <v>5.9461334134356161</v>
      </c>
      <c r="AZ9" s="94">
        <f t="shared" si="18"/>
        <v>2.973066706717808</v>
      </c>
      <c r="BA9" s="27">
        <f t="shared" si="19"/>
        <v>648.12854206448208</v>
      </c>
      <c r="BB9" s="27"/>
      <c r="BC9" s="27"/>
      <c r="BD9" s="18"/>
      <c r="BH9" s="3"/>
      <c r="BK9" s="3"/>
      <c r="BN9" s="3"/>
      <c r="BQ9" s="117"/>
      <c r="BU9" s="3"/>
      <c r="BX9" s="3"/>
      <c r="CA9" s="3"/>
      <c r="DX9" s="3"/>
      <c r="DZ9" s="38"/>
      <c r="EA9" s="55"/>
      <c r="EB9" s="38"/>
      <c r="EC9" s="38"/>
      <c r="ED9" s="121"/>
      <c r="EH9" s="3"/>
      <c r="EJ9" s="38"/>
      <c r="EK9" s="55"/>
      <c r="EL9" s="38"/>
      <c r="EM9" s="198"/>
      <c r="EQ9" s="3"/>
      <c r="ES9" s="38"/>
      <c r="ET9" s="55"/>
      <c r="EU9" s="38"/>
      <c r="EV9" s="198"/>
    </row>
    <row r="10" spans="1:152" x14ac:dyDescent="0.2">
      <c r="A10" s="3" t="s">
        <v>19</v>
      </c>
      <c r="B10">
        <v>1688</v>
      </c>
      <c r="C10">
        <v>152.5</v>
      </c>
      <c r="D10">
        <v>1.29</v>
      </c>
      <c r="E10">
        <v>0.35299999999999998</v>
      </c>
      <c r="F10" t="s">
        <v>25</v>
      </c>
      <c r="G10" t="s">
        <v>124</v>
      </c>
      <c r="H10" s="20"/>
      <c r="I10" s="21"/>
      <c r="J10">
        <v>596</v>
      </c>
      <c r="K10" s="94">
        <v>0.28044000000000002</v>
      </c>
      <c r="L10" s="94">
        <v>0.49076999999999998</v>
      </c>
      <c r="M10" s="94">
        <v>0.70109999999999995</v>
      </c>
      <c r="N10">
        <v>0.35</v>
      </c>
      <c r="O10" s="38">
        <v>208.6</v>
      </c>
      <c r="P10" s="27">
        <f t="shared" si="2"/>
        <v>58.499783999999998</v>
      </c>
      <c r="Q10" s="27">
        <f t="shared" si="20"/>
        <v>102.37462199999999</v>
      </c>
      <c r="R10" s="27">
        <f t="shared" si="3"/>
        <v>146.24945999999997</v>
      </c>
      <c r="S10" s="27"/>
      <c r="T10" s="27"/>
      <c r="U10" s="27"/>
      <c r="V10" s="18"/>
      <c r="W10">
        <v>2.3999999999999998E-3</v>
      </c>
      <c r="X10">
        <v>0.99760000000000004</v>
      </c>
      <c r="Y10" s="94">
        <f t="shared" si="4"/>
        <v>0.14039948159999999</v>
      </c>
      <c r="Z10" s="94">
        <f t="shared" si="5"/>
        <v>0.24569909279999996</v>
      </c>
      <c r="AA10" s="94">
        <f t="shared" si="6"/>
        <v>0.35099870399999988</v>
      </c>
      <c r="AB10" s="94">
        <f t="shared" si="7"/>
        <v>58.359384518399999</v>
      </c>
      <c r="AC10" s="94">
        <f t="shared" si="8"/>
        <v>102.12892290719999</v>
      </c>
      <c r="AD10" s="94">
        <f t="shared" si="9"/>
        <v>145.89846129599997</v>
      </c>
      <c r="AK10" s="18"/>
      <c r="AL10">
        <v>332</v>
      </c>
      <c r="AM10" s="34">
        <f t="shared" si="10"/>
        <v>3.7899543378995433E-2</v>
      </c>
      <c r="AN10" s="34">
        <f t="shared" si="0"/>
        <v>0.96210045662100452</v>
      </c>
      <c r="AO10" s="94">
        <f t="shared" si="11"/>
        <v>2.2117940251265753</v>
      </c>
      <c r="AP10" s="94">
        <f t="shared" si="12"/>
        <v>1.1058970125632877</v>
      </c>
      <c r="AQ10" s="94">
        <f t="shared" si="13"/>
        <v>57.253487505836709</v>
      </c>
      <c r="AR10" s="27"/>
      <c r="AS10" s="27"/>
      <c r="AT10" s="94">
        <f t="shared" si="14"/>
        <v>3.8706395439715067</v>
      </c>
      <c r="AU10" s="94">
        <f t="shared" si="15"/>
        <v>1.9353197719857533</v>
      </c>
      <c r="AV10" s="27">
        <f t="shared" si="16"/>
        <v>100.19360313521423</v>
      </c>
      <c r="AW10" s="27"/>
      <c r="AX10" s="27"/>
      <c r="AY10" s="94">
        <f t="shared" si="17"/>
        <v>5.5294850628164367</v>
      </c>
      <c r="AZ10" s="94">
        <f t="shared" si="18"/>
        <v>2.7647425314082184</v>
      </c>
      <c r="BA10" s="27">
        <f t="shared" si="19"/>
        <v>143.13371876459175</v>
      </c>
      <c r="BB10" s="27"/>
      <c r="BC10" s="27"/>
      <c r="BD10" s="18"/>
      <c r="BH10" s="3"/>
      <c r="BK10" s="3"/>
      <c r="BN10" s="3"/>
      <c r="BQ10" s="117"/>
      <c r="BU10" s="3"/>
      <c r="BX10" s="3"/>
      <c r="CA10" s="3"/>
      <c r="DI10" s="27" t="s">
        <v>270</v>
      </c>
      <c r="DX10" s="3"/>
      <c r="DZ10" s="38"/>
      <c r="EA10" s="55"/>
      <c r="EB10" s="38"/>
      <c r="EC10" s="38"/>
      <c r="ED10" s="121"/>
      <c r="EH10" s="3"/>
      <c r="EJ10" s="38"/>
      <c r="EK10" s="55"/>
      <c r="EL10" s="38"/>
      <c r="EM10" s="198"/>
      <c r="EQ10" s="3"/>
      <c r="ES10" s="38"/>
      <c r="ET10" s="55"/>
      <c r="EU10" s="38"/>
      <c r="EV10" s="198"/>
    </row>
    <row r="11" spans="1:152" x14ac:dyDescent="0.2">
      <c r="A11" s="3" t="s">
        <v>20</v>
      </c>
      <c r="B11">
        <v>2122</v>
      </c>
      <c r="C11">
        <v>15</v>
      </c>
      <c r="D11">
        <v>0.24</v>
      </c>
      <c r="E11">
        <v>0.317</v>
      </c>
      <c r="F11" t="s">
        <v>26</v>
      </c>
      <c r="G11" t="s">
        <v>124</v>
      </c>
      <c r="H11" s="20"/>
      <c r="I11" s="21"/>
      <c r="J11">
        <v>673</v>
      </c>
      <c r="K11" s="94">
        <v>0.28044000000000002</v>
      </c>
      <c r="L11" s="94">
        <v>0.49076999999999998</v>
      </c>
      <c r="M11" s="94">
        <v>0.70109999999999995</v>
      </c>
      <c r="N11">
        <v>0.32</v>
      </c>
      <c r="O11" s="38">
        <v>215.36</v>
      </c>
      <c r="P11" s="27">
        <f t="shared" si="2"/>
        <v>60.395558400000013</v>
      </c>
      <c r="Q11" s="27">
        <f t="shared" si="20"/>
        <v>105.6922272</v>
      </c>
      <c r="R11" s="27">
        <f t="shared" si="3"/>
        <v>150.98889599999998</v>
      </c>
      <c r="S11" s="27"/>
      <c r="T11" s="27"/>
      <c r="U11" s="27"/>
      <c r="V11" s="18"/>
      <c r="W11">
        <v>2.3999999999999998E-3</v>
      </c>
      <c r="X11">
        <v>0.99760000000000004</v>
      </c>
      <c r="Y11" s="94">
        <f t="shared" si="4"/>
        <v>0.14494934016000002</v>
      </c>
      <c r="Z11" s="94">
        <f t="shared" si="5"/>
        <v>0.25366134528000001</v>
      </c>
      <c r="AA11" s="94">
        <f t="shared" si="6"/>
        <v>0.36237335039999991</v>
      </c>
      <c r="AB11" s="94">
        <f t="shared" si="7"/>
        <v>60.250609059840016</v>
      </c>
      <c r="AC11" s="94">
        <f t="shared" si="8"/>
        <v>105.43856585472001</v>
      </c>
      <c r="AD11" s="94">
        <f t="shared" si="9"/>
        <v>150.62652264959999</v>
      </c>
      <c r="AK11" s="18"/>
      <c r="AL11">
        <v>0</v>
      </c>
      <c r="AM11" s="34">
        <f t="shared" si="10"/>
        <v>0</v>
      </c>
      <c r="AN11" s="34">
        <f t="shared" si="0"/>
        <v>1</v>
      </c>
      <c r="AO11" s="94">
        <f t="shared" si="11"/>
        <v>0</v>
      </c>
      <c r="AP11" s="94">
        <f t="shared" si="12"/>
        <v>0</v>
      </c>
      <c r="AQ11" s="94">
        <f t="shared" si="13"/>
        <v>60.250609059840016</v>
      </c>
      <c r="AR11" s="27"/>
      <c r="AS11" s="27"/>
      <c r="AT11" s="94">
        <f t="shared" si="14"/>
        <v>0</v>
      </c>
      <c r="AU11" s="94">
        <f t="shared" si="15"/>
        <v>0</v>
      </c>
      <c r="AV11" s="27">
        <f t="shared" si="16"/>
        <v>105.43856585472001</v>
      </c>
      <c r="AW11" s="27"/>
      <c r="AX11" s="27"/>
      <c r="AY11" s="94">
        <f t="shared" si="17"/>
        <v>0</v>
      </c>
      <c r="AZ11" s="94">
        <f t="shared" si="18"/>
        <v>0</v>
      </c>
      <c r="BA11" s="27">
        <f t="shared" si="19"/>
        <v>150.62652264959999</v>
      </c>
      <c r="BB11" s="27"/>
      <c r="BC11" s="27"/>
      <c r="BD11" s="18"/>
      <c r="BH11" s="3"/>
      <c r="BK11" s="3"/>
      <c r="BN11" s="3"/>
      <c r="BQ11" s="117"/>
      <c r="BU11" s="3"/>
      <c r="BX11" s="3"/>
      <c r="CA11" s="3"/>
      <c r="DX11" s="3"/>
      <c r="DZ11" s="38"/>
      <c r="EA11" s="55"/>
      <c r="EB11" s="38"/>
      <c r="EC11" s="38"/>
      <c r="ED11" s="121"/>
      <c r="EH11" s="3"/>
      <c r="EJ11" s="38"/>
      <c r="EK11" s="55"/>
      <c r="EL11" s="38"/>
      <c r="EM11" s="198"/>
      <c r="EQ11" s="3"/>
      <c r="ES11" s="38"/>
      <c r="ET11" s="55"/>
      <c r="EU11" s="38"/>
      <c r="EV11" s="198"/>
    </row>
    <row r="12" spans="1:152" x14ac:dyDescent="0.2">
      <c r="A12" s="3" t="s">
        <v>21</v>
      </c>
      <c r="B12">
        <v>2122</v>
      </c>
      <c r="C12">
        <v>15</v>
      </c>
      <c r="D12">
        <v>1.36</v>
      </c>
      <c r="E12">
        <v>0.19</v>
      </c>
      <c r="F12" t="s">
        <v>27</v>
      </c>
      <c r="G12" t="s">
        <v>124</v>
      </c>
      <c r="H12" s="20"/>
      <c r="I12" s="21"/>
      <c r="J12">
        <v>403</v>
      </c>
      <c r="K12" s="94">
        <v>0.28044000000000002</v>
      </c>
      <c r="L12" s="94">
        <v>0.49076999999999998</v>
      </c>
      <c r="M12" s="94">
        <v>0.70109999999999995</v>
      </c>
      <c r="N12">
        <v>0.19</v>
      </c>
      <c r="O12" s="38">
        <v>76.569999999999993</v>
      </c>
      <c r="P12" s="27">
        <f t="shared" si="2"/>
        <v>21.473290800000001</v>
      </c>
      <c r="Q12" s="27">
        <f t="shared" si="20"/>
        <v>37.578258899999994</v>
      </c>
      <c r="R12" s="27">
        <f t="shared" si="3"/>
        <v>53.683226999999995</v>
      </c>
      <c r="S12" s="27"/>
      <c r="T12" s="27"/>
      <c r="U12" s="27"/>
      <c r="V12" s="18"/>
      <c r="W12">
        <v>2.3999999999999998E-3</v>
      </c>
      <c r="X12">
        <v>0.99760000000000004</v>
      </c>
      <c r="Y12" s="94">
        <f t="shared" si="4"/>
        <v>5.1535897919999997E-2</v>
      </c>
      <c r="Z12" s="94">
        <f t="shared" si="5"/>
        <v>9.0187821359999976E-2</v>
      </c>
      <c r="AA12" s="94">
        <f t="shared" si="6"/>
        <v>0.12883974479999999</v>
      </c>
      <c r="AB12" s="94">
        <f t="shared" si="7"/>
        <v>21.421754902080004</v>
      </c>
      <c r="AC12" s="94">
        <f t="shared" si="8"/>
        <v>37.488071078639997</v>
      </c>
      <c r="AD12" s="94">
        <f t="shared" si="9"/>
        <v>53.554387255199998</v>
      </c>
      <c r="AK12" s="18"/>
      <c r="AL12">
        <v>10</v>
      </c>
      <c r="AM12" s="34">
        <f t="shared" si="10"/>
        <v>1.1415525114155251E-3</v>
      </c>
      <c r="AN12" s="34">
        <f t="shared" si="0"/>
        <v>0.99885844748858443</v>
      </c>
      <c r="AO12" s="94">
        <f t="shared" si="11"/>
        <v>2.4454058107397262E-2</v>
      </c>
      <c r="AP12" s="94">
        <f t="shared" si="12"/>
        <v>1.2227029053698631E-2</v>
      </c>
      <c r="AQ12" s="94">
        <f t="shared" si="13"/>
        <v>21.409527873026303</v>
      </c>
      <c r="AR12" s="27"/>
      <c r="AS12" s="27"/>
      <c r="AT12" s="94">
        <f t="shared" si="14"/>
        <v>4.2794601687945202E-2</v>
      </c>
      <c r="AU12" s="94">
        <f t="shared" si="15"/>
        <v>2.1397300843972601E-2</v>
      </c>
      <c r="AV12" s="27">
        <f t="shared" si="16"/>
        <v>37.466673777796025</v>
      </c>
      <c r="AW12" s="27"/>
      <c r="AX12" s="27"/>
      <c r="AY12" s="94">
        <f t="shared" si="17"/>
        <v>6.1135145268493146E-2</v>
      </c>
      <c r="AZ12" s="94">
        <f t="shared" si="18"/>
        <v>3.0567572634246573E-2</v>
      </c>
      <c r="BA12" s="27">
        <f t="shared" si="19"/>
        <v>53.523819682565751</v>
      </c>
      <c r="BB12" s="27"/>
      <c r="BC12" s="27"/>
      <c r="BD12" s="18"/>
      <c r="BH12" s="3"/>
      <c r="BK12" s="3"/>
      <c r="BN12" s="3"/>
      <c r="BQ12" s="117"/>
      <c r="BU12" s="3"/>
      <c r="BX12" s="3"/>
      <c r="CA12" s="3"/>
      <c r="CG12" s="27" t="s">
        <v>93</v>
      </c>
      <c r="DX12" s="3"/>
      <c r="DZ12" s="38"/>
      <c r="EA12" s="55"/>
      <c r="EB12" s="38"/>
      <c r="EC12" s="38"/>
      <c r="ED12" s="121"/>
      <c r="EH12" s="3"/>
      <c r="EJ12" s="38"/>
      <c r="EK12" s="55"/>
      <c r="EL12" s="38"/>
      <c r="EM12" s="198"/>
      <c r="EQ12" s="3"/>
      <c r="ES12" s="38"/>
      <c r="ET12" s="55"/>
      <c r="EU12" s="38"/>
      <c r="EV12" s="198"/>
    </row>
    <row r="13" spans="1:152" x14ac:dyDescent="0.2">
      <c r="A13" s="3" t="s">
        <v>23</v>
      </c>
      <c r="B13">
        <v>1479</v>
      </c>
      <c r="C13">
        <v>8</v>
      </c>
      <c r="D13">
        <v>1.01</v>
      </c>
      <c r="F13" t="s">
        <v>28</v>
      </c>
      <c r="G13" t="s">
        <v>30</v>
      </c>
      <c r="H13" s="20"/>
      <c r="I13" s="21"/>
      <c r="J13">
        <v>8</v>
      </c>
      <c r="K13" s="94">
        <v>0.28044000000000002</v>
      </c>
      <c r="L13" s="94">
        <v>0.49076999999999998</v>
      </c>
      <c r="M13" s="94">
        <v>0.70109999999999995</v>
      </c>
      <c r="N13">
        <v>1.01</v>
      </c>
      <c r="O13" s="38">
        <v>8.08</v>
      </c>
      <c r="P13" s="27">
        <f t="shared" si="2"/>
        <v>2.2659552000000001</v>
      </c>
      <c r="Q13" s="27">
        <f t="shared" si="20"/>
        <v>3.9654216</v>
      </c>
      <c r="R13" s="27">
        <f t="shared" si="3"/>
        <v>5.6648879999999995</v>
      </c>
      <c r="S13" s="27"/>
      <c r="T13" s="27"/>
      <c r="U13" s="27"/>
      <c r="V13" s="18"/>
      <c r="W13">
        <v>2.3999999999999998E-3</v>
      </c>
      <c r="X13">
        <v>0.99760000000000004</v>
      </c>
      <c r="Y13" s="94">
        <f t="shared" si="4"/>
        <v>5.4382924799999998E-3</v>
      </c>
      <c r="Z13" s="94">
        <f t="shared" si="5"/>
        <v>9.5170118399999989E-3</v>
      </c>
      <c r="AA13" s="94">
        <f t="shared" si="6"/>
        <v>1.3595731199999997E-2</v>
      </c>
      <c r="AB13" s="94">
        <f t="shared" si="7"/>
        <v>2.26051690752</v>
      </c>
      <c r="AC13" s="94">
        <f t="shared" si="8"/>
        <v>3.9559045881600001</v>
      </c>
      <c r="AD13" s="94">
        <f t="shared" si="9"/>
        <v>5.6512922687999998</v>
      </c>
      <c r="AK13" s="18"/>
      <c r="AL13">
        <v>886</v>
      </c>
      <c r="AM13" s="34">
        <f t="shared" si="10"/>
        <v>0.10114155251141553</v>
      </c>
      <c r="AN13" s="34">
        <f t="shared" si="0"/>
        <v>0.89885844748858446</v>
      </c>
      <c r="AO13" s="94">
        <f t="shared" si="11"/>
        <v>0.22863218950487674</v>
      </c>
      <c r="AP13" s="94">
        <f t="shared" si="12"/>
        <v>0.11431609475243837</v>
      </c>
      <c r="AQ13" s="94">
        <f t="shared" si="13"/>
        <v>2.1462008127675616</v>
      </c>
      <c r="AR13" s="27"/>
      <c r="AS13" s="27"/>
      <c r="AT13" s="94">
        <f t="shared" si="14"/>
        <v>0.40010633163353426</v>
      </c>
      <c r="AU13" s="94">
        <f t="shared" si="15"/>
        <v>0.20005316581676713</v>
      </c>
      <c r="AV13" s="27">
        <f t="shared" si="16"/>
        <v>3.7558514223432327</v>
      </c>
      <c r="AW13" s="27" t="s">
        <v>372</v>
      </c>
      <c r="AX13" s="27"/>
      <c r="AY13" s="94">
        <f t="shared" si="17"/>
        <v>0.57158047376219179</v>
      </c>
      <c r="AZ13" s="94">
        <f t="shared" si="18"/>
        <v>0.28579023688109589</v>
      </c>
      <c r="BA13" s="27">
        <f t="shared" si="19"/>
        <v>5.3655020319189033</v>
      </c>
      <c r="BB13" s="27"/>
      <c r="BC13" s="27"/>
      <c r="BD13" s="18"/>
      <c r="BH13" s="3"/>
      <c r="BK13" s="3"/>
      <c r="BN13" s="3"/>
      <c r="BQ13" s="117"/>
      <c r="BU13" s="3"/>
      <c r="BX13" s="3"/>
      <c r="CA13" s="3"/>
      <c r="DX13" s="3"/>
      <c r="DZ13" s="38"/>
      <c r="EA13" s="55"/>
      <c r="EB13" s="38"/>
      <c r="EC13" s="38"/>
      <c r="ED13" s="121"/>
      <c r="EH13" s="3"/>
      <c r="EJ13" s="38"/>
      <c r="EK13" s="55"/>
      <c r="EL13" s="38"/>
      <c r="EM13" s="198"/>
      <c r="EQ13" s="3"/>
      <c r="ES13" s="38"/>
      <c r="ET13" s="55"/>
      <c r="EU13" s="38"/>
      <c r="EV13" s="198"/>
    </row>
    <row r="14" spans="1:152" x14ac:dyDescent="0.2">
      <c r="A14" s="3" t="s">
        <v>24</v>
      </c>
      <c r="B14">
        <v>1228</v>
      </c>
      <c r="C14">
        <v>41</v>
      </c>
      <c r="D14">
        <v>3.38</v>
      </c>
      <c r="E14">
        <v>0.32500000000000001</v>
      </c>
      <c r="F14" t="s">
        <v>29</v>
      </c>
      <c r="G14" t="s">
        <v>124</v>
      </c>
      <c r="H14" s="20"/>
      <c r="I14" s="21"/>
      <c r="J14">
        <v>399</v>
      </c>
      <c r="K14" s="94">
        <v>0.28044000000000002</v>
      </c>
      <c r="L14" s="94">
        <v>0.49076999999999998</v>
      </c>
      <c r="M14" s="94">
        <v>0.70109999999999995</v>
      </c>
      <c r="N14">
        <v>0.33</v>
      </c>
      <c r="O14" s="38">
        <v>131.66999999999999</v>
      </c>
      <c r="P14" s="27">
        <f t="shared" si="2"/>
        <v>36.925534800000001</v>
      </c>
      <c r="Q14" s="27">
        <f t="shared" si="20"/>
        <v>64.619685900000007</v>
      </c>
      <c r="R14" s="27">
        <f t="shared" si="3"/>
        <v>92.313837000000007</v>
      </c>
      <c r="S14" s="27"/>
      <c r="T14" s="27"/>
      <c r="U14" s="27"/>
      <c r="V14" s="18"/>
      <c r="W14">
        <v>2.3999999999999998E-3</v>
      </c>
      <c r="X14">
        <v>0.99760000000000004</v>
      </c>
      <c r="Y14" s="94">
        <f t="shared" si="4"/>
        <v>8.8621283519999997E-2</v>
      </c>
      <c r="Z14" s="94">
        <f t="shared" si="5"/>
        <v>0.15508724616</v>
      </c>
      <c r="AA14" s="94">
        <f t="shared" si="6"/>
        <v>0.22155320879999998</v>
      </c>
      <c r="AB14" s="94">
        <f t="shared" si="7"/>
        <v>36.836913516480003</v>
      </c>
      <c r="AC14" s="94">
        <f t="shared" si="8"/>
        <v>64.464598653840014</v>
      </c>
      <c r="AD14" s="94">
        <f t="shared" si="9"/>
        <v>92.092283791200003</v>
      </c>
      <c r="AK14" s="18"/>
      <c r="AL14">
        <v>167</v>
      </c>
      <c r="AM14" s="34">
        <f t="shared" si="10"/>
        <v>1.906392694063927E-2</v>
      </c>
      <c r="AN14" s="34">
        <f t="shared" si="0"/>
        <v>0.9809360730593607</v>
      </c>
      <c r="AO14" s="94">
        <f t="shared" si="11"/>
        <v>0.70225622799682197</v>
      </c>
      <c r="AP14" s="94">
        <f t="shared" si="12"/>
        <v>0.35112811399841098</v>
      </c>
      <c r="AQ14" s="94">
        <f t="shared" si="13"/>
        <v>36.485785402481596</v>
      </c>
      <c r="AR14" s="27"/>
      <c r="AS14" s="27"/>
      <c r="AT14" s="94">
        <f t="shared" si="14"/>
        <v>1.2289483989944385</v>
      </c>
      <c r="AU14" s="94">
        <f t="shared" si="15"/>
        <v>0.61447419949721926</v>
      </c>
      <c r="AV14" s="27">
        <f t="shared" si="16"/>
        <v>63.85012445434279</v>
      </c>
      <c r="AW14" s="27"/>
      <c r="AX14" s="27"/>
      <c r="AY14" s="94">
        <f t="shared" si="17"/>
        <v>1.755640569992055</v>
      </c>
      <c r="AZ14" s="94">
        <f t="shared" si="18"/>
        <v>0.87782028499602749</v>
      </c>
      <c r="BA14" s="27">
        <f t="shared" si="19"/>
        <v>91.214463506203984</v>
      </c>
      <c r="BB14" s="27"/>
      <c r="BC14" s="27"/>
      <c r="BD14" s="18"/>
      <c r="BH14" s="3"/>
      <c r="BK14" s="3"/>
      <c r="BN14" s="3"/>
      <c r="BQ14" s="117"/>
      <c r="BU14" s="3"/>
      <c r="BX14" s="3"/>
      <c r="CA14" s="3"/>
      <c r="DX14" s="3"/>
      <c r="DZ14" s="38"/>
      <c r="EA14" s="55"/>
      <c r="EB14" s="38"/>
      <c r="EC14" s="38"/>
      <c r="ED14" s="121"/>
      <c r="EH14" s="3"/>
      <c r="EJ14" s="38"/>
      <c r="EK14" s="55"/>
      <c r="EL14" s="38"/>
      <c r="EM14" s="198"/>
      <c r="EQ14" s="3"/>
      <c r="ES14" s="38"/>
      <c r="ET14" s="55"/>
      <c r="EU14" s="38"/>
      <c r="EV14" s="198"/>
    </row>
    <row r="15" spans="1:152" x14ac:dyDescent="0.2">
      <c r="A15" s="3" t="s">
        <v>31</v>
      </c>
      <c r="B15">
        <v>1379</v>
      </c>
      <c r="C15">
        <v>6</v>
      </c>
      <c r="D15">
        <v>0.59</v>
      </c>
      <c r="F15" t="s">
        <v>32</v>
      </c>
      <c r="G15" t="s">
        <v>30</v>
      </c>
      <c r="H15" s="20"/>
      <c r="I15" s="21"/>
      <c r="J15">
        <v>6</v>
      </c>
      <c r="K15" s="94">
        <v>0.28044000000000002</v>
      </c>
      <c r="L15" s="94">
        <v>0.49076999999999998</v>
      </c>
      <c r="M15" s="94">
        <v>0.70109999999999995</v>
      </c>
      <c r="N15">
        <v>0.59</v>
      </c>
      <c r="O15" s="38">
        <v>3.54</v>
      </c>
      <c r="P15" s="27">
        <f t="shared" si="2"/>
        <v>0.99275760000000002</v>
      </c>
      <c r="Q15" s="27">
        <f t="shared" si="20"/>
        <v>1.7373257999999998</v>
      </c>
      <c r="R15" s="27">
        <f t="shared" si="3"/>
        <v>2.4818939999999996</v>
      </c>
      <c r="S15" s="27"/>
      <c r="T15" s="27"/>
      <c r="U15" s="27"/>
      <c r="V15" s="18"/>
      <c r="W15">
        <v>2.3999999999999998E-3</v>
      </c>
      <c r="X15">
        <v>0.99760000000000004</v>
      </c>
      <c r="Y15" s="94">
        <f t="shared" si="4"/>
        <v>2.3826182399999999E-3</v>
      </c>
      <c r="Z15" s="94">
        <f t="shared" si="5"/>
        <v>4.1695819199999993E-3</v>
      </c>
      <c r="AA15" s="94">
        <f t="shared" si="6"/>
        <v>5.9565455999999982E-3</v>
      </c>
      <c r="AB15" s="94">
        <f t="shared" si="7"/>
        <v>0.99037498176000005</v>
      </c>
      <c r="AC15" s="94">
        <f t="shared" si="8"/>
        <v>1.73315621808</v>
      </c>
      <c r="AD15" s="94">
        <f t="shared" si="9"/>
        <v>2.4759374543999999</v>
      </c>
      <c r="AK15" s="18"/>
      <c r="AL15">
        <v>1315</v>
      </c>
      <c r="AM15" s="34">
        <f t="shared" si="10"/>
        <v>0.15011415525114155</v>
      </c>
      <c r="AN15" s="34">
        <f t="shared" si="0"/>
        <v>0.84988584474885842</v>
      </c>
      <c r="AO15" s="94">
        <f t="shared" si="11"/>
        <v>0.14866930376876714</v>
      </c>
      <c r="AP15" s="94">
        <f t="shared" si="12"/>
        <v>7.4334651884383568E-2</v>
      </c>
      <c r="AQ15" s="94">
        <f t="shared" si="13"/>
        <v>0.91604032987561645</v>
      </c>
      <c r="AR15" s="27"/>
      <c r="AS15" s="27"/>
      <c r="AT15" s="94">
        <f t="shared" si="14"/>
        <v>0.26017128159534247</v>
      </c>
      <c r="AU15" s="94">
        <f t="shared" si="15"/>
        <v>0.13008564079767124</v>
      </c>
      <c r="AV15" s="27">
        <f t="shared" si="16"/>
        <v>1.6030705772823286</v>
      </c>
      <c r="AW15" s="27"/>
      <c r="AX15" s="27"/>
      <c r="AY15" s="94">
        <f t="shared" si="17"/>
        <v>0.37167325942191781</v>
      </c>
      <c r="AZ15" s="94">
        <f t="shared" si="18"/>
        <v>0.18583662971095891</v>
      </c>
      <c r="BA15" s="27">
        <f t="shared" si="19"/>
        <v>2.2901008246890413</v>
      </c>
      <c r="BB15" s="27"/>
      <c r="BC15" s="27"/>
      <c r="BD15" s="18"/>
      <c r="BH15" s="3"/>
      <c r="BK15" s="3"/>
      <c r="BN15" s="3"/>
      <c r="BQ15" s="117"/>
      <c r="BU15" s="3"/>
      <c r="BX15" s="3"/>
      <c r="CA15" s="3"/>
      <c r="DX15" s="3"/>
      <c r="DZ15" s="38"/>
      <c r="EA15" s="55"/>
      <c r="EB15" s="38"/>
      <c r="EC15" s="38"/>
      <c r="ED15" s="121"/>
      <c r="EH15" s="3"/>
      <c r="EJ15" s="38"/>
      <c r="EK15" s="55"/>
      <c r="EL15" s="38"/>
      <c r="EM15" s="198"/>
      <c r="EQ15" s="3"/>
      <c r="ES15" s="38"/>
      <c r="ET15" s="55"/>
      <c r="EU15" s="38"/>
      <c r="EV15" s="198"/>
    </row>
    <row r="16" spans="1:152" x14ac:dyDescent="0.2">
      <c r="A16" s="3" t="s">
        <v>33</v>
      </c>
      <c r="B16">
        <v>1179</v>
      </c>
      <c r="C16">
        <v>10</v>
      </c>
      <c r="D16">
        <v>2.5</v>
      </c>
      <c r="E16">
        <v>0.625</v>
      </c>
      <c r="F16" t="s">
        <v>34</v>
      </c>
      <c r="G16" t="s">
        <v>11</v>
      </c>
      <c r="H16" s="20"/>
      <c r="I16" s="21"/>
      <c r="J16">
        <v>737</v>
      </c>
      <c r="K16" s="94">
        <v>0.28044000000000002</v>
      </c>
      <c r="L16" s="94">
        <v>0.49076999999999998</v>
      </c>
      <c r="M16" s="94">
        <v>0.70109999999999995</v>
      </c>
      <c r="N16">
        <v>0.63</v>
      </c>
      <c r="O16" s="38">
        <v>464.31</v>
      </c>
      <c r="P16" s="27">
        <f t="shared" si="2"/>
        <v>130.21109640000003</v>
      </c>
      <c r="Q16" s="27">
        <f t="shared" si="20"/>
        <v>227.86941870000001</v>
      </c>
      <c r="R16" s="27">
        <f t="shared" si="3"/>
        <v>325.52774099999999</v>
      </c>
      <c r="S16" s="27"/>
      <c r="T16" s="27"/>
      <c r="U16" s="27"/>
      <c r="V16" s="18"/>
      <c r="W16">
        <v>2.3999999999999998E-3</v>
      </c>
      <c r="X16">
        <v>0.99760000000000004</v>
      </c>
      <c r="Y16" s="94">
        <f t="shared" si="4"/>
        <v>0.31250663136000006</v>
      </c>
      <c r="Z16" s="94">
        <f t="shared" si="5"/>
        <v>0.54688660487999996</v>
      </c>
      <c r="AA16" s="94">
        <f t="shared" si="6"/>
        <v>0.78126657839999991</v>
      </c>
      <c r="AB16" s="94">
        <f t="shared" si="7"/>
        <v>129.89858976864002</v>
      </c>
      <c r="AC16" s="94">
        <f t="shared" si="8"/>
        <v>227.32253209512001</v>
      </c>
      <c r="AD16" s="94">
        <f t="shared" si="9"/>
        <v>324.7464744216</v>
      </c>
      <c r="AK16" s="18"/>
      <c r="AL16">
        <v>149</v>
      </c>
      <c r="AM16" s="34">
        <f t="shared" si="10"/>
        <v>1.7009132420091323E-2</v>
      </c>
      <c r="AN16" s="34">
        <f t="shared" si="0"/>
        <v>0.98299086757990872</v>
      </c>
      <c r="AO16" s="94">
        <f t="shared" si="11"/>
        <v>2.2094623145579178</v>
      </c>
      <c r="AP16" s="94">
        <f t="shared" si="12"/>
        <v>1.1047311572789589</v>
      </c>
      <c r="AQ16" s="94">
        <f t="shared" si="13"/>
        <v>128.79385861136106</v>
      </c>
      <c r="AR16" s="27"/>
      <c r="AS16" s="27"/>
      <c r="AT16" s="94">
        <f t="shared" si="14"/>
        <v>3.8665590504763561</v>
      </c>
      <c r="AU16" s="94">
        <f t="shared" si="15"/>
        <v>1.933279525238178</v>
      </c>
      <c r="AV16" s="27">
        <f t="shared" si="16"/>
        <v>225.38925256988185</v>
      </c>
      <c r="AW16" s="27"/>
      <c r="AX16" s="27"/>
      <c r="AY16" s="94">
        <f t="shared" si="17"/>
        <v>5.5236557863947944</v>
      </c>
      <c r="AZ16" s="94">
        <f t="shared" si="18"/>
        <v>2.7618278931973972</v>
      </c>
      <c r="BA16" s="27">
        <f t="shared" si="19"/>
        <v>321.98464652840261</v>
      </c>
      <c r="BB16" s="27"/>
      <c r="BC16" s="27"/>
      <c r="BD16" s="18"/>
      <c r="BH16" s="3"/>
      <c r="BK16" s="3"/>
      <c r="BN16" s="3"/>
      <c r="BQ16" s="117"/>
      <c r="BU16" s="3"/>
      <c r="BX16" s="3"/>
      <c r="CA16" s="3"/>
      <c r="DX16" s="3"/>
      <c r="DZ16" s="38"/>
      <c r="EA16" s="55"/>
      <c r="EB16" s="38"/>
      <c r="EC16" s="38"/>
      <c r="ED16" s="121"/>
      <c r="EH16" s="3"/>
      <c r="EJ16" s="38"/>
      <c r="EK16" s="55"/>
      <c r="EL16" s="38"/>
      <c r="EM16" s="198"/>
      <c r="EQ16" s="3"/>
      <c r="ES16" s="38"/>
      <c r="ET16" s="55"/>
      <c r="EU16" s="38"/>
      <c r="EV16" s="198"/>
    </row>
    <row r="17" spans="1:155" x14ac:dyDescent="0.2">
      <c r="A17" s="3" t="s">
        <v>35</v>
      </c>
      <c r="B17">
        <v>1252</v>
      </c>
      <c r="C17">
        <v>1250</v>
      </c>
      <c r="D17">
        <v>0.08</v>
      </c>
      <c r="F17" t="s">
        <v>36</v>
      </c>
      <c r="G17" t="s">
        <v>126</v>
      </c>
      <c r="H17" s="20"/>
      <c r="I17" s="21"/>
      <c r="J17">
        <v>100</v>
      </c>
      <c r="K17" s="94">
        <v>0.28044000000000002</v>
      </c>
      <c r="L17" s="94">
        <v>0.49076999999999998</v>
      </c>
      <c r="M17" s="94">
        <v>0.70109999999999995</v>
      </c>
      <c r="N17">
        <v>0.08</v>
      </c>
      <c r="O17" s="38">
        <v>8</v>
      </c>
      <c r="P17" s="27">
        <f t="shared" si="2"/>
        <v>2.2435200000000002</v>
      </c>
      <c r="Q17" s="27">
        <f t="shared" si="20"/>
        <v>3.9261599999999999</v>
      </c>
      <c r="R17" s="27">
        <f t="shared" si="3"/>
        <v>5.6088000000000005</v>
      </c>
      <c r="S17" s="27"/>
      <c r="T17" s="27"/>
      <c r="U17" s="27"/>
      <c r="V17" s="18"/>
      <c r="W17">
        <v>2.3999999999999998E-3</v>
      </c>
      <c r="X17">
        <v>0.99760000000000004</v>
      </c>
      <c r="Y17" s="94">
        <f t="shared" si="4"/>
        <v>5.384448E-3</v>
      </c>
      <c r="Z17" s="94">
        <f t="shared" si="5"/>
        <v>9.4227839999999983E-3</v>
      </c>
      <c r="AA17" s="94">
        <f t="shared" si="6"/>
        <v>1.346112E-2</v>
      </c>
      <c r="AB17" s="94">
        <f t="shared" si="7"/>
        <v>2.2381355520000001</v>
      </c>
      <c r="AC17" s="94">
        <f t="shared" si="8"/>
        <v>3.916737216</v>
      </c>
      <c r="AD17" s="94">
        <f t="shared" si="9"/>
        <v>5.5953388800000008</v>
      </c>
      <c r="AK17" s="18"/>
      <c r="AL17">
        <v>1181</v>
      </c>
      <c r="AM17" s="34">
        <f t="shared" si="10"/>
        <v>0.13481735159817351</v>
      </c>
      <c r="AN17" s="34">
        <f t="shared" si="0"/>
        <v>0.86518264840182646</v>
      </c>
      <c r="AO17" s="94">
        <f t="shared" si="11"/>
        <v>0.30173950763835616</v>
      </c>
      <c r="AP17" s="94">
        <f t="shared" si="12"/>
        <v>0.15086975381917808</v>
      </c>
      <c r="AQ17" s="94">
        <f t="shared" si="13"/>
        <v>2.0872657981808218</v>
      </c>
      <c r="AR17" s="27"/>
      <c r="AS17" s="27"/>
      <c r="AT17" s="94">
        <f t="shared" si="14"/>
        <v>0.52804413836712327</v>
      </c>
      <c r="AU17" s="94">
        <f t="shared" si="15"/>
        <v>0.26402206918356164</v>
      </c>
      <c r="AV17" s="27">
        <f t="shared" si="16"/>
        <v>3.6527151468164383</v>
      </c>
      <c r="AW17" s="27"/>
      <c r="AX17" s="27"/>
      <c r="AY17" s="94">
        <f t="shared" si="17"/>
        <v>0.75434876909589055</v>
      </c>
      <c r="AZ17" s="94">
        <f t="shared" si="18"/>
        <v>0.37717438454794527</v>
      </c>
      <c r="BA17" s="27">
        <f t="shared" si="19"/>
        <v>5.2181644954520561</v>
      </c>
      <c r="BB17" s="27"/>
      <c r="BC17" s="27"/>
      <c r="BD17" s="18"/>
      <c r="BH17" s="3"/>
      <c r="BK17" s="3"/>
      <c r="BN17" s="3"/>
      <c r="BQ17" s="117"/>
      <c r="BU17" s="3"/>
      <c r="BX17" s="3"/>
      <c r="CA17" s="3"/>
      <c r="DX17" s="3"/>
      <c r="DZ17" s="38"/>
      <c r="EA17" s="55"/>
      <c r="EB17" s="38"/>
      <c r="EC17" s="38"/>
      <c r="ED17" s="121"/>
      <c r="EH17" s="3"/>
      <c r="EJ17" s="38"/>
      <c r="EK17" s="55"/>
      <c r="EL17" s="38"/>
      <c r="EM17" s="198"/>
      <c r="EQ17" s="3"/>
      <c r="ES17" s="38"/>
      <c r="ET17" s="55"/>
      <c r="EU17" s="38"/>
      <c r="EV17" s="198"/>
    </row>
    <row r="18" spans="1:155" x14ac:dyDescent="0.2">
      <c r="A18" s="3" t="s">
        <v>37</v>
      </c>
      <c r="B18">
        <v>1186.5</v>
      </c>
      <c r="C18">
        <v>901</v>
      </c>
      <c r="D18">
        <v>0.69</v>
      </c>
      <c r="E18">
        <v>0.16500000000000001</v>
      </c>
      <c r="F18" t="s">
        <v>38</v>
      </c>
      <c r="G18" t="s">
        <v>16</v>
      </c>
      <c r="H18" s="20"/>
      <c r="I18" s="21"/>
      <c r="J18">
        <v>819</v>
      </c>
      <c r="K18" s="94">
        <v>0.28044000000000002</v>
      </c>
      <c r="L18" s="94">
        <v>0.49076999999999998</v>
      </c>
      <c r="M18" s="94">
        <v>0.70109999999999995</v>
      </c>
      <c r="N18">
        <v>0.17</v>
      </c>
      <c r="O18" s="38">
        <v>139.22999999999999</v>
      </c>
      <c r="P18" s="27">
        <f t="shared" si="2"/>
        <v>39.045661200000005</v>
      </c>
      <c r="Q18" s="27">
        <f t="shared" si="20"/>
        <v>68.3299071</v>
      </c>
      <c r="R18" s="27">
        <f t="shared" si="3"/>
        <v>97.614153000000002</v>
      </c>
      <c r="S18" s="27"/>
      <c r="T18" s="27"/>
      <c r="U18" s="27"/>
      <c r="V18" s="18"/>
      <c r="W18">
        <v>2.3999999999999998E-3</v>
      </c>
      <c r="X18">
        <v>0.99760000000000004</v>
      </c>
      <c r="Y18" s="94">
        <f t="shared" si="4"/>
        <v>9.3709586880000001E-2</v>
      </c>
      <c r="Z18" s="94">
        <f t="shared" si="5"/>
        <v>0.16399177703999998</v>
      </c>
      <c r="AA18" s="94">
        <f t="shared" si="6"/>
        <v>0.23427396719999999</v>
      </c>
      <c r="AB18" s="94">
        <f t="shared" si="7"/>
        <v>38.951951613120009</v>
      </c>
      <c r="AC18" s="94">
        <f t="shared" si="8"/>
        <v>68.165915322960004</v>
      </c>
      <c r="AD18" s="94">
        <f t="shared" si="9"/>
        <v>97.379879032800005</v>
      </c>
      <c r="AK18" s="18"/>
      <c r="AL18">
        <v>171</v>
      </c>
      <c r="AM18" s="34">
        <f t="shared" si="10"/>
        <v>1.9520547945205479E-2</v>
      </c>
      <c r="AN18" s="34">
        <f t="shared" si="0"/>
        <v>0.98047945205479448</v>
      </c>
      <c r="AO18" s="94">
        <f t="shared" si="11"/>
        <v>0.760363439023233</v>
      </c>
      <c r="AP18" s="94">
        <f t="shared" si="12"/>
        <v>0.3801817195116165</v>
      </c>
      <c r="AQ18" s="94">
        <f t="shared" si="13"/>
        <v>38.571769893608391</v>
      </c>
      <c r="AR18" s="27"/>
      <c r="AS18" s="27"/>
      <c r="AT18" s="94">
        <f t="shared" si="14"/>
        <v>1.3306360182906576</v>
      </c>
      <c r="AU18" s="94">
        <f t="shared" si="15"/>
        <v>0.66531800914532879</v>
      </c>
      <c r="AV18" s="27">
        <f t="shared" si="16"/>
        <v>67.500597313814666</v>
      </c>
      <c r="AW18" s="27"/>
      <c r="AX18" s="27"/>
      <c r="AY18" s="94">
        <f t="shared" si="17"/>
        <v>1.9009085975580822</v>
      </c>
      <c r="AZ18" s="94">
        <f t="shared" si="18"/>
        <v>0.95045429877904108</v>
      </c>
      <c r="BA18" s="27">
        <f t="shared" si="19"/>
        <v>96.429424734020955</v>
      </c>
      <c r="BB18" s="27"/>
      <c r="BC18" s="27"/>
      <c r="BD18" s="18"/>
      <c r="BH18" s="3"/>
      <c r="BK18" s="3"/>
      <c r="BN18" s="3"/>
      <c r="BQ18" s="117"/>
      <c r="BU18" s="3"/>
      <c r="BX18" s="3"/>
      <c r="CA18" s="3"/>
      <c r="DX18" s="3"/>
      <c r="DZ18" s="38"/>
      <c r="EA18" s="55"/>
      <c r="EB18" s="38"/>
      <c r="EC18" s="38"/>
      <c r="ED18" s="121"/>
      <c r="EH18" s="3"/>
      <c r="EJ18" s="38"/>
      <c r="EK18" s="55"/>
      <c r="EL18" s="38"/>
      <c r="EM18" s="198"/>
      <c r="EQ18" s="3"/>
      <c r="ES18" s="38"/>
      <c r="ET18" s="55"/>
      <c r="EU18" s="38"/>
      <c r="EV18" s="198"/>
    </row>
    <row r="19" spans="1:155" x14ac:dyDescent="0.2">
      <c r="A19" s="3" t="s">
        <v>39</v>
      </c>
      <c r="B19">
        <v>1747</v>
      </c>
      <c r="C19">
        <v>901</v>
      </c>
      <c r="D19">
        <v>0.41</v>
      </c>
      <c r="F19" t="s">
        <v>40</v>
      </c>
      <c r="G19" t="s">
        <v>126</v>
      </c>
      <c r="H19" s="20"/>
      <c r="I19" s="21"/>
      <c r="J19">
        <v>716</v>
      </c>
      <c r="K19" s="94">
        <v>0.28044000000000002</v>
      </c>
      <c r="L19" s="94">
        <v>0.49076999999999998</v>
      </c>
      <c r="M19" s="94">
        <v>0.70109999999999995</v>
      </c>
      <c r="N19">
        <v>0.41</v>
      </c>
      <c r="O19" s="38">
        <v>293.56</v>
      </c>
      <c r="P19" s="27">
        <f t="shared" si="2"/>
        <v>82.325966400000013</v>
      </c>
      <c r="Q19" s="27">
        <f t="shared" si="20"/>
        <v>144.0704412</v>
      </c>
      <c r="R19" s="27">
        <f t="shared" si="3"/>
        <v>205.81491599999998</v>
      </c>
      <c r="S19" s="27"/>
      <c r="T19" s="27"/>
      <c r="U19" s="27"/>
      <c r="V19" s="18"/>
      <c r="W19">
        <v>2.3999999999999998E-3</v>
      </c>
      <c r="X19">
        <v>0.99760000000000004</v>
      </c>
      <c r="Y19" s="94">
        <f t="shared" si="4"/>
        <v>0.19758231936000001</v>
      </c>
      <c r="Z19" s="94">
        <f t="shared" si="5"/>
        <v>0.34576905887999998</v>
      </c>
      <c r="AA19" s="94">
        <f t="shared" si="6"/>
        <v>0.49395579839999992</v>
      </c>
      <c r="AB19" s="94">
        <f t="shared" si="7"/>
        <v>82.128384080640018</v>
      </c>
      <c r="AC19" s="94">
        <f t="shared" si="8"/>
        <v>143.72467214112001</v>
      </c>
      <c r="AD19" s="94">
        <f t="shared" si="9"/>
        <v>205.3209602016</v>
      </c>
      <c r="AK19" s="18"/>
      <c r="AL19">
        <v>14</v>
      </c>
      <c r="AM19" s="34">
        <f t="shared" si="10"/>
        <v>1.5981735159817352E-3</v>
      </c>
      <c r="AN19" s="34">
        <f t="shared" si="0"/>
        <v>0.99840182648401832</v>
      </c>
      <c r="AO19" s="94">
        <f t="shared" si="11"/>
        <v>0.13125540834805483</v>
      </c>
      <c r="AP19" s="94">
        <f t="shared" si="12"/>
        <v>6.5627704174027413E-2</v>
      </c>
      <c r="AQ19" s="94">
        <f t="shared" si="13"/>
        <v>82.062756376465998</v>
      </c>
      <c r="AR19" s="27"/>
      <c r="AS19" s="27"/>
      <c r="AT19" s="94">
        <f t="shared" si="14"/>
        <v>0.22969696460909592</v>
      </c>
      <c r="AU19" s="94">
        <f t="shared" si="15"/>
        <v>0.11484848230454796</v>
      </c>
      <c r="AV19" s="27">
        <f t="shared" si="16"/>
        <v>143.60982365881549</v>
      </c>
      <c r="AW19" s="27"/>
      <c r="AX19" s="27"/>
      <c r="AY19" s="94">
        <f t="shared" si="17"/>
        <v>0.32813852087013701</v>
      </c>
      <c r="AZ19" s="94">
        <f t="shared" si="18"/>
        <v>0.1640692604350685</v>
      </c>
      <c r="BA19" s="27">
        <f t="shared" si="19"/>
        <v>205.15689094116496</v>
      </c>
      <c r="BB19" s="27"/>
      <c r="BC19" s="27"/>
      <c r="BD19" s="18"/>
      <c r="BH19" s="3"/>
      <c r="BK19" s="3"/>
      <c r="BN19" s="3"/>
      <c r="BQ19" s="117"/>
      <c r="BU19" s="3"/>
      <c r="BX19" s="3"/>
      <c r="CA19" s="3"/>
      <c r="DX19" s="3"/>
      <c r="DZ19" s="38"/>
      <c r="EA19" s="55"/>
      <c r="EB19" s="38"/>
      <c r="EC19" s="38"/>
      <c r="ED19" s="121"/>
      <c r="EH19" s="3"/>
      <c r="EJ19" s="38"/>
      <c r="EK19" s="55"/>
      <c r="EL19" s="38"/>
      <c r="EM19" s="198"/>
      <c r="EQ19" s="3"/>
      <c r="ES19" s="38"/>
      <c r="ET19" s="55"/>
      <c r="EU19" s="38"/>
      <c r="EV19" s="198"/>
    </row>
    <row r="20" spans="1:155" x14ac:dyDescent="0.2">
      <c r="A20" s="3" t="s">
        <v>41</v>
      </c>
      <c r="B20">
        <v>1179</v>
      </c>
      <c r="C20">
        <v>10</v>
      </c>
      <c r="D20">
        <v>0.34</v>
      </c>
      <c r="E20">
        <v>0.25</v>
      </c>
      <c r="F20" t="s">
        <v>42</v>
      </c>
      <c r="G20" t="s">
        <v>11</v>
      </c>
      <c r="H20" s="20"/>
      <c r="I20" s="21"/>
      <c r="J20">
        <v>295</v>
      </c>
      <c r="K20" s="94">
        <v>0.28044000000000002</v>
      </c>
      <c r="L20" s="94">
        <v>0.49076999999999998</v>
      </c>
      <c r="M20" s="94">
        <v>0.70109999999999995</v>
      </c>
      <c r="N20">
        <v>0.25</v>
      </c>
      <c r="O20" s="38">
        <v>73.75</v>
      </c>
      <c r="P20" s="27">
        <f t="shared" si="2"/>
        <v>20.682450000000003</v>
      </c>
      <c r="Q20" s="27">
        <f t="shared" si="20"/>
        <v>36.194287500000002</v>
      </c>
      <c r="R20" s="27">
        <f t="shared" si="3"/>
        <v>51.706124999999993</v>
      </c>
      <c r="S20" s="27"/>
      <c r="T20" s="27"/>
      <c r="U20" s="27"/>
      <c r="V20" s="18"/>
      <c r="W20">
        <v>2.3999999999999998E-3</v>
      </c>
      <c r="X20">
        <v>0.99760000000000004</v>
      </c>
      <c r="Y20" s="94">
        <f t="shared" si="4"/>
        <v>4.9637880000000002E-2</v>
      </c>
      <c r="Z20" s="94">
        <f t="shared" si="5"/>
        <v>8.6866289999999999E-2</v>
      </c>
      <c r="AA20" s="94">
        <f t="shared" si="6"/>
        <v>0.12409469999999997</v>
      </c>
      <c r="AB20" s="94">
        <f t="shared" si="7"/>
        <v>20.632812120000004</v>
      </c>
      <c r="AC20" s="94">
        <f t="shared" si="8"/>
        <v>36.107421210000005</v>
      </c>
      <c r="AD20" s="94">
        <f t="shared" si="9"/>
        <v>51.582030299999992</v>
      </c>
      <c r="AK20" s="18"/>
      <c r="AL20">
        <v>39</v>
      </c>
      <c r="AM20" s="34">
        <f t="shared" si="10"/>
        <v>4.4520547945205479E-3</v>
      </c>
      <c r="AN20" s="34">
        <f t="shared" si="0"/>
        <v>0.9955479452054794</v>
      </c>
      <c r="AO20" s="94">
        <f t="shared" si="11"/>
        <v>9.1858410123287687E-2</v>
      </c>
      <c r="AP20" s="94">
        <f t="shared" si="12"/>
        <v>4.5929205061643844E-2</v>
      </c>
      <c r="AQ20" s="94">
        <f t="shared" si="13"/>
        <v>20.586882914938357</v>
      </c>
      <c r="AR20" s="27"/>
      <c r="AS20" s="27"/>
      <c r="AT20" s="94">
        <f t="shared" si="14"/>
        <v>0.16075221771575346</v>
      </c>
      <c r="AU20" s="94">
        <f t="shared" si="15"/>
        <v>8.037610885787673E-2</v>
      </c>
      <c r="AV20" s="27">
        <f t="shared" si="16"/>
        <v>36.027045101142129</v>
      </c>
      <c r="AW20" s="27"/>
      <c r="AX20" s="27"/>
      <c r="AY20" s="94">
        <f t="shared" si="17"/>
        <v>0.22964602530821915</v>
      </c>
      <c r="AZ20" s="94">
        <f t="shared" si="18"/>
        <v>0.11482301265410957</v>
      </c>
      <c r="BA20" s="27">
        <f t="shared" si="19"/>
        <v>51.467207287345879</v>
      </c>
      <c r="BB20" s="27"/>
      <c r="BC20" s="27"/>
      <c r="BD20" s="18"/>
      <c r="BH20" s="3"/>
      <c r="BK20" s="3"/>
      <c r="BN20" s="3"/>
      <c r="BQ20" s="117"/>
      <c r="BR20" t="s">
        <v>270</v>
      </c>
      <c r="BU20" s="3"/>
      <c r="BX20" s="3"/>
      <c r="CA20" s="3"/>
      <c r="DX20" s="3"/>
      <c r="DZ20" s="38"/>
      <c r="EA20" s="55"/>
      <c r="EB20" s="38"/>
      <c r="EC20" s="38"/>
      <c r="ED20" s="121"/>
      <c r="EH20" s="3"/>
      <c r="EJ20" s="38"/>
      <c r="EK20" s="55"/>
      <c r="EL20" s="38"/>
      <c r="EM20" s="198"/>
      <c r="EQ20" s="3"/>
      <c r="ES20" s="38"/>
      <c r="ET20" s="55"/>
      <c r="EU20" s="38"/>
      <c r="EV20" s="198"/>
    </row>
    <row r="21" spans="1:155" x14ac:dyDescent="0.2">
      <c r="A21" s="3" t="s">
        <v>43</v>
      </c>
      <c r="B21">
        <v>1760</v>
      </c>
      <c r="C21">
        <v>7</v>
      </c>
      <c r="D21">
        <v>0.78</v>
      </c>
      <c r="F21" t="s">
        <v>44</v>
      </c>
      <c r="G21" t="s">
        <v>30</v>
      </c>
      <c r="H21" s="20"/>
      <c r="I21" s="21"/>
      <c r="J21">
        <v>7</v>
      </c>
      <c r="K21" s="94">
        <v>0.28044000000000002</v>
      </c>
      <c r="L21" s="94">
        <v>0.49076999999999998</v>
      </c>
      <c r="M21" s="94">
        <v>0.70109999999999995</v>
      </c>
      <c r="N21">
        <v>0.78</v>
      </c>
      <c r="O21" s="38">
        <v>5.46</v>
      </c>
      <c r="P21" s="27">
        <f t="shared" si="2"/>
        <v>1.5312024000000002</v>
      </c>
      <c r="Q21" s="27">
        <f t="shared" si="20"/>
        <v>2.6796042</v>
      </c>
      <c r="R21" s="27">
        <f t="shared" si="3"/>
        <v>3.8280059999999994</v>
      </c>
      <c r="S21" s="27"/>
      <c r="T21" s="27"/>
      <c r="U21" s="27"/>
      <c r="V21" s="18"/>
      <c r="W21">
        <v>2.3999999999999998E-3</v>
      </c>
      <c r="X21">
        <v>0.99760000000000004</v>
      </c>
      <c r="Y21" s="94">
        <f t="shared" si="4"/>
        <v>3.6748857600000001E-3</v>
      </c>
      <c r="Z21" s="94">
        <f t="shared" si="5"/>
        <v>6.4310500799999995E-3</v>
      </c>
      <c r="AA21" s="94">
        <f t="shared" si="6"/>
        <v>9.1872143999999975E-3</v>
      </c>
      <c r="AB21" s="94">
        <f t="shared" si="7"/>
        <v>1.5275275142400002</v>
      </c>
      <c r="AC21" s="94">
        <f t="shared" si="8"/>
        <v>2.6731731499200002</v>
      </c>
      <c r="AD21" s="94">
        <f t="shared" si="9"/>
        <v>3.8188187855999995</v>
      </c>
      <c r="AK21" s="18"/>
      <c r="AL21">
        <v>2027</v>
      </c>
      <c r="AM21" s="34">
        <f t="shared" si="10"/>
        <v>0.23139269406392693</v>
      </c>
      <c r="AN21" s="34">
        <f t="shared" si="0"/>
        <v>0.76860730593607307</v>
      </c>
      <c r="AO21" s="94">
        <f t="shared" si="11"/>
        <v>0.35345870677676716</v>
      </c>
      <c r="AP21" s="94">
        <f t="shared" si="12"/>
        <v>0.17672935338838358</v>
      </c>
      <c r="AQ21" s="94">
        <f t="shared" si="13"/>
        <v>1.3507981608516166</v>
      </c>
      <c r="AR21" s="27"/>
      <c r="AS21" s="27"/>
      <c r="AT21" s="94">
        <f t="shared" si="14"/>
        <v>0.61855273685934253</v>
      </c>
      <c r="AU21" s="94">
        <f t="shared" si="15"/>
        <v>0.30927636842967127</v>
      </c>
      <c r="AV21" s="27">
        <f t="shared" si="16"/>
        <v>2.3638967814903289</v>
      </c>
      <c r="AW21" s="27"/>
      <c r="AX21" s="27"/>
      <c r="AY21" s="94">
        <f t="shared" si="17"/>
        <v>0.88364676694191768</v>
      </c>
      <c r="AZ21" s="94">
        <f t="shared" si="18"/>
        <v>0.44182338347095884</v>
      </c>
      <c r="BA21" s="27">
        <f t="shared" si="19"/>
        <v>3.3769954021290407</v>
      </c>
      <c r="BB21" s="27"/>
      <c r="BC21" s="27"/>
      <c r="BD21" s="18"/>
      <c r="BH21" s="3"/>
      <c r="BK21" s="3"/>
      <c r="BN21" s="3"/>
      <c r="BQ21" s="117"/>
      <c r="BU21" s="3"/>
      <c r="BX21" s="3"/>
      <c r="CA21" s="3"/>
      <c r="DX21" s="3"/>
      <c r="DZ21" s="38"/>
      <c r="EA21" s="55"/>
      <c r="EB21" s="38"/>
      <c r="EC21" s="38"/>
      <c r="ED21" s="121"/>
      <c r="EH21" s="3"/>
      <c r="EJ21" s="38"/>
      <c r="EK21" s="55"/>
      <c r="EL21" s="38"/>
      <c r="EM21" s="198"/>
      <c r="EQ21" s="3"/>
      <c r="ES21" s="38"/>
      <c r="ET21" s="55"/>
      <c r="EU21" s="38"/>
      <c r="EV21" s="198"/>
    </row>
    <row r="22" spans="1:155" x14ac:dyDescent="0.2">
      <c r="A22" s="3" t="s">
        <v>45</v>
      </c>
      <c r="B22">
        <v>1760</v>
      </c>
      <c r="C22">
        <v>7</v>
      </c>
      <c r="D22">
        <v>14.26</v>
      </c>
      <c r="F22" t="s">
        <v>44</v>
      </c>
      <c r="G22" t="s">
        <v>30</v>
      </c>
      <c r="H22" s="20"/>
      <c r="I22" s="21"/>
      <c r="J22">
        <v>7</v>
      </c>
      <c r="K22" s="94">
        <v>0.28044000000000002</v>
      </c>
      <c r="L22" s="94">
        <v>0.49076999999999998</v>
      </c>
      <c r="M22" s="94">
        <v>0.70109999999999995</v>
      </c>
      <c r="N22">
        <v>14.26</v>
      </c>
      <c r="O22" s="38">
        <v>99.82</v>
      </c>
      <c r="P22" s="27">
        <f t="shared" si="2"/>
        <v>27.993520800000002</v>
      </c>
      <c r="Q22" s="27">
        <f t="shared" si="20"/>
        <v>48.988661399999998</v>
      </c>
      <c r="R22" s="27">
        <f t="shared" si="3"/>
        <v>69.983801999999983</v>
      </c>
      <c r="S22" s="27"/>
      <c r="T22" s="27"/>
      <c r="U22" s="27"/>
      <c r="V22" s="18"/>
      <c r="W22">
        <v>2.3999999999999998E-3</v>
      </c>
      <c r="X22">
        <v>0.99760000000000004</v>
      </c>
      <c r="Y22" s="94">
        <f t="shared" si="4"/>
        <v>6.718444992E-2</v>
      </c>
      <c r="Z22" s="94">
        <f t="shared" si="5"/>
        <v>0.11757278735999999</v>
      </c>
      <c r="AA22" s="94">
        <f t="shared" si="6"/>
        <v>0.16796112479999994</v>
      </c>
      <c r="AB22" s="94">
        <f t="shared" si="7"/>
        <v>27.926336350080003</v>
      </c>
      <c r="AC22" s="94">
        <f t="shared" si="8"/>
        <v>48.871088612640001</v>
      </c>
      <c r="AD22" s="94">
        <f t="shared" si="9"/>
        <v>69.815840875199981</v>
      </c>
      <c r="AK22" s="18"/>
      <c r="AL22">
        <v>1086</v>
      </c>
      <c r="AM22" s="34">
        <f>$AL22/8760</f>
        <v>0.12397260273972603</v>
      </c>
      <c r="AN22" s="34">
        <f t="shared" si="0"/>
        <v>0.87602739726027401</v>
      </c>
      <c r="AO22" s="94">
        <f t="shared" si="11"/>
        <v>3.4621006023044387</v>
      </c>
      <c r="AP22" s="94">
        <f t="shared" si="12"/>
        <v>1.7310503011522194</v>
      </c>
      <c r="AQ22" s="94">
        <f t="shared" si="13"/>
        <v>26.195286048927784</v>
      </c>
      <c r="AR22" s="27"/>
      <c r="AS22" s="27"/>
      <c r="AT22" s="94">
        <f t="shared" si="14"/>
        <v>6.0586760540327678</v>
      </c>
      <c r="AU22" s="94">
        <f t="shared" si="15"/>
        <v>3.0293380270163839</v>
      </c>
      <c r="AV22" s="27">
        <f t="shared" si="16"/>
        <v>45.841750585623622</v>
      </c>
      <c r="AW22" s="27"/>
      <c r="AX22" s="27"/>
      <c r="AY22" s="94">
        <f t="shared" si="17"/>
        <v>8.6552515057610933</v>
      </c>
      <c r="AZ22" s="94">
        <f t="shared" si="18"/>
        <v>4.3276257528805466</v>
      </c>
      <c r="BA22" s="27">
        <f t="shared" si="19"/>
        <v>65.488215122319431</v>
      </c>
      <c r="BB22" s="27"/>
      <c r="BC22" s="27"/>
      <c r="BD22" s="18"/>
      <c r="BH22" s="3"/>
      <c r="BK22" s="3"/>
      <c r="BN22" s="3"/>
      <c r="BQ22" s="117"/>
      <c r="BU22" s="3"/>
      <c r="BX22" s="3"/>
      <c r="CA22" s="3"/>
      <c r="DX22" s="3"/>
      <c r="DZ22" s="38"/>
      <c r="EA22" s="55"/>
      <c r="EB22" s="38"/>
      <c r="EC22" s="38"/>
      <c r="ED22" s="121"/>
      <c r="EH22" s="3"/>
      <c r="EJ22" s="38"/>
      <c r="EK22" s="55"/>
      <c r="EL22" s="38"/>
      <c r="EM22" s="198"/>
      <c r="EQ22" s="3"/>
      <c r="ES22" s="38"/>
      <c r="ET22" s="55"/>
      <c r="EU22" s="38"/>
      <c r="EV22" s="198"/>
    </row>
    <row r="23" spans="1:155" x14ac:dyDescent="0.2">
      <c r="A23" s="3"/>
      <c r="E23" s="251"/>
      <c r="H23" s="20"/>
      <c r="I23" s="21"/>
      <c r="O23" s="244"/>
      <c r="V23" s="18"/>
      <c r="AK23" s="18"/>
      <c r="BD23" s="18"/>
      <c r="BH23" s="3"/>
      <c r="BK23" s="3"/>
      <c r="BN23" s="3"/>
      <c r="BQ23" s="117"/>
      <c r="BU23" s="3"/>
      <c r="BX23" s="3"/>
      <c r="CA23" s="3"/>
      <c r="DX23" s="3"/>
      <c r="DZ23" s="38"/>
      <c r="EA23" s="55"/>
      <c r="EB23" s="38"/>
      <c r="EC23" s="38"/>
      <c r="ED23" s="121"/>
      <c r="EH23" s="3"/>
      <c r="EJ23" s="38"/>
      <c r="EK23" s="55"/>
      <c r="EL23" s="38"/>
      <c r="EM23" s="198"/>
      <c r="EQ23" s="3"/>
      <c r="ES23" s="38"/>
      <c r="ET23" s="55"/>
      <c r="EU23" s="38"/>
      <c r="EV23" s="198"/>
    </row>
    <row r="24" spans="1:155" ht="19" x14ac:dyDescent="0.25">
      <c r="A24" s="24" t="s">
        <v>412</v>
      </c>
      <c r="B24" s="11"/>
      <c r="C24" s="11"/>
      <c r="D24" s="11"/>
      <c r="E24" s="11"/>
      <c r="F24" s="11"/>
      <c r="G24" s="11"/>
      <c r="H24" s="20"/>
      <c r="I24" s="21"/>
      <c r="J24" s="25"/>
      <c r="K24" s="136"/>
      <c r="L24" s="136"/>
      <c r="M24" s="136"/>
      <c r="N24" s="11"/>
      <c r="O24" s="245"/>
      <c r="P24" s="11"/>
      <c r="Q24" s="11"/>
      <c r="R24" s="11"/>
      <c r="S24" s="11"/>
      <c r="T24" s="11"/>
      <c r="U24" s="11"/>
      <c r="V24" s="18"/>
      <c r="AK24" s="18"/>
      <c r="AL24" s="11"/>
      <c r="AM24" s="11"/>
      <c r="AN24" s="11"/>
      <c r="AO24" s="11"/>
      <c r="AP24" s="11"/>
      <c r="AQ24" s="11"/>
      <c r="AR24" s="11"/>
      <c r="AS24" s="11"/>
      <c r="AT24" s="11"/>
      <c r="AU24" s="11"/>
      <c r="AV24" s="11"/>
      <c r="AW24" s="11"/>
      <c r="AX24" s="11"/>
      <c r="AY24" s="11"/>
      <c r="AZ24" s="11"/>
      <c r="BA24" s="11"/>
      <c r="BB24" s="11"/>
      <c r="BC24" s="11"/>
      <c r="BD24" s="18"/>
      <c r="BE24" s="11"/>
      <c r="BF24" s="11"/>
      <c r="BG24" s="11"/>
      <c r="BH24" s="48"/>
      <c r="BI24" s="11"/>
      <c r="BJ24" s="11"/>
      <c r="BK24" s="48"/>
      <c r="BL24" s="11"/>
      <c r="BM24" s="11"/>
      <c r="BN24" s="48"/>
      <c r="BO24" s="11"/>
      <c r="BP24" s="11"/>
      <c r="BQ24" s="117"/>
      <c r="BR24" s="48"/>
      <c r="BS24" s="11"/>
      <c r="BT24" s="11"/>
      <c r="BU24" s="48"/>
      <c r="BV24" s="11"/>
      <c r="BW24" s="11"/>
      <c r="BX24" s="48"/>
      <c r="BY24" s="11"/>
      <c r="BZ24" s="11"/>
      <c r="CA24" s="48"/>
      <c r="CB24" s="11"/>
      <c r="CC24" s="11"/>
      <c r="CE24" s="48"/>
      <c r="CF24" s="125"/>
      <c r="CG24" s="139"/>
      <c r="CH24" s="139"/>
      <c r="CI24" s="139"/>
      <c r="CJ24" s="139"/>
      <c r="CK24" s="139"/>
      <c r="CL24" s="174"/>
      <c r="CM24" s="139"/>
      <c r="CN24" s="139"/>
      <c r="CO24" s="139"/>
      <c r="CP24" s="139"/>
      <c r="CQ24" s="139"/>
      <c r="CR24" s="174"/>
      <c r="CS24" s="139"/>
      <c r="CT24" s="139"/>
      <c r="CU24" s="139"/>
      <c r="CV24" s="139"/>
      <c r="CW24" s="139"/>
      <c r="CX24" s="139"/>
      <c r="CZ24" s="139"/>
      <c r="DA24" s="139"/>
      <c r="DB24" s="139"/>
      <c r="DC24" s="139"/>
      <c r="DD24" s="139"/>
      <c r="DE24" s="139"/>
      <c r="DF24" s="139"/>
      <c r="DG24" s="139"/>
      <c r="DH24" s="139"/>
      <c r="DI24" s="139"/>
      <c r="DJ24" s="139"/>
      <c r="DK24" s="139"/>
      <c r="DL24" s="139"/>
      <c r="DM24" s="139"/>
      <c r="DN24" s="139"/>
      <c r="DO24" s="139"/>
      <c r="DP24" s="139"/>
      <c r="DQ24" s="139"/>
      <c r="DR24" s="139"/>
      <c r="DS24" s="139"/>
      <c r="DU24" s="11"/>
      <c r="DV24" s="11"/>
      <c r="DW24" s="39"/>
      <c r="DX24" s="48"/>
      <c r="DY24" s="11"/>
      <c r="DZ24" s="39"/>
      <c r="EA24" s="56"/>
      <c r="EB24" s="39"/>
      <c r="EC24" s="39"/>
      <c r="ED24" s="121"/>
      <c r="EE24" s="11"/>
      <c r="EF24" s="11"/>
      <c r="EG24" s="39"/>
      <c r="EH24" s="48"/>
      <c r="EI24" s="11"/>
      <c r="EJ24" s="39"/>
      <c r="EK24" s="56"/>
      <c r="EL24" s="39"/>
      <c r="EM24" s="194"/>
      <c r="EN24" s="11"/>
      <c r="EO24" s="11"/>
      <c r="EP24" s="39"/>
      <c r="EQ24" s="48"/>
      <c r="ER24" s="11"/>
      <c r="ES24" s="39"/>
      <c r="ET24" s="56"/>
      <c r="EU24" s="39"/>
      <c r="EV24" s="194"/>
    </row>
    <row r="25" spans="1:155" x14ac:dyDescent="0.2">
      <c r="A25" s="3" t="s">
        <v>93</v>
      </c>
      <c r="B25">
        <v>1362</v>
      </c>
      <c r="C25">
        <v>101</v>
      </c>
      <c r="D25">
        <v>14.28</v>
      </c>
      <c r="E25">
        <v>0.57999999999999996</v>
      </c>
      <c r="F25" s="2">
        <f t="shared" ref="F25:F35" si="21">B25*E25</f>
        <v>789.95999999999992</v>
      </c>
      <c r="G25" t="s">
        <v>11</v>
      </c>
      <c r="H25" s="20"/>
      <c r="I25" s="21"/>
      <c r="J25">
        <v>790</v>
      </c>
      <c r="K25" s="94">
        <v>0.28044000000000002</v>
      </c>
      <c r="L25" s="94">
        <v>0.49076999999999998</v>
      </c>
      <c r="M25" s="94">
        <v>0.70109999999999995</v>
      </c>
      <c r="N25">
        <v>14.28</v>
      </c>
      <c r="O25" s="38">
        <v>11281.2</v>
      </c>
      <c r="P25" s="27">
        <f t="shared" ref="P25:P49" si="22">$J25*$K25*$N25</f>
        <v>3163.6997280000001</v>
      </c>
      <c r="Q25" s="27">
        <f t="shared" ref="Q25:Q50" si="23">J25*L25*N25</f>
        <v>5536.4745240000002</v>
      </c>
      <c r="R25" s="27">
        <f t="shared" ref="R25:R50" si="24">$J25*$M25*$N25</f>
        <v>7909.2493199999981</v>
      </c>
      <c r="S25" s="27">
        <f>$P25+$P26+$P27+$P28+$P29+$P30+$P31+$P32+$P33+$P34+$P35+$P36+$P37+$P38+$P39+$P40+$P41+$P42+$P43+$P44+$P45+$P46+$P47+$P48+$P49+$P50</f>
        <v>12544.086808799999</v>
      </c>
      <c r="T25" s="27">
        <f>Q25+Q26+Q27+Q28+Q29+Q30+Q31+Q32+Q33+Q34+Q35+Q36+Q37+Q38+Q39+Q40+Q41+Q42+Q43+Q44+Q45+Q46+Q47+Q48+Q49+Q50</f>
        <v>21952.151915400005</v>
      </c>
      <c r="U25" s="27">
        <f>R25+R26+R27+R28+R29+R30+R31+R32+R33+R34+R35+R36+R37+R38+R39+R40+R41+R42+R43+R44+R45+R46+R47+R48+R49+R50</f>
        <v>31360.217021999993</v>
      </c>
      <c r="V25" s="18"/>
      <c r="W25">
        <v>2.3999999999999998E-3</v>
      </c>
      <c r="X25">
        <v>0.99760000000000004</v>
      </c>
      <c r="Y25" s="94">
        <f t="shared" ref="Y25:Y50" si="25" xml:space="preserve"> P25 * W25</f>
        <v>7.5928793471999994</v>
      </c>
      <c r="Z25" s="94">
        <f t="shared" ref="Z25:Z50" si="26" xml:space="preserve"> Q25 * W25</f>
        <v>13.2875388576</v>
      </c>
      <c r="AA25" s="94">
        <f t="shared" ref="AA25:AA50" si="27" xml:space="preserve"> R25 * W25</f>
        <v>18.982198367999995</v>
      </c>
      <c r="AB25" s="94">
        <f t="shared" ref="AB25:AB50" si="28" xml:space="preserve"> P25 * X25</f>
        <v>3156.1068486528002</v>
      </c>
      <c r="AC25" s="94">
        <f t="shared" ref="AC25:AC50" si="29" xml:space="preserve"> Q25 * X25</f>
        <v>5523.1869851424008</v>
      </c>
      <c r="AD25" s="94">
        <f t="shared" ref="AD25:AD50" si="30" xml:space="preserve"> R25 * X25</f>
        <v>7890.2671216319986</v>
      </c>
      <c r="AE25" s="27">
        <f xml:space="preserve"> S25 * W25</f>
        <v>30.105808341119996</v>
      </c>
      <c r="AF25" s="27">
        <f xml:space="preserve"> T25 * W25</f>
        <v>52.685164596960007</v>
      </c>
      <c r="AG25" s="27">
        <f xml:space="preserve"> U25 * W25</f>
        <v>75.264520852799976</v>
      </c>
      <c r="AH25" s="27">
        <f xml:space="preserve"> S25 * X25</f>
        <v>12513.98100045888</v>
      </c>
      <c r="AI25" s="27">
        <f xml:space="preserve"> T25 * X25</f>
        <v>21899.466750803047</v>
      </c>
      <c r="AJ25" s="27">
        <f xml:space="preserve"> U25  * X25</f>
        <v>31284.952501147196</v>
      </c>
      <c r="AK25" s="18"/>
      <c r="AL25">
        <v>426</v>
      </c>
      <c r="AM25" s="34">
        <f>$AL25/8760</f>
        <v>4.8630136986301371E-2</v>
      </c>
      <c r="AN25" s="34">
        <f t="shared" ref="AN25:AN35" si="31">1- AM25</f>
        <v>0.95136986301369864</v>
      </c>
      <c r="AO25" s="94">
        <f>$AB25*$AM25</f>
        <v>153.4819083933896</v>
      </c>
      <c r="AP25" s="94">
        <f t="shared" ref="AP25:AP50" si="32" xml:space="preserve"> AO25 / 2</f>
        <v>76.740954196694801</v>
      </c>
      <c r="AQ25" s="94">
        <f>AB25*AN25 + AP25</f>
        <v>3079.3658944561057</v>
      </c>
      <c r="AR25" s="27">
        <f xml:space="preserve"> SUM(AP25:AP50)</f>
        <v>134.27944756998969</v>
      </c>
      <c r="AS25" s="27">
        <f xml:space="preserve"> SUM(AQ25:AQ50)</f>
        <v>12379.701552888895</v>
      </c>
      <c r="AT25" s="94">
        <f t="shared" ref="AT25:AT35" si="33">$AM25*$AC25</f>
        <v>268.59333968843185</v>
      </c>
      <c r="AU25" s="94">
        <f t="shared" ref="AU25:AU50" si="34" xml:space="preserve"> AT25 / 2</f>
        <v>134.29666984421593</v>
      </c>
      <c r="AV25" s="27">
        <f>$AN25*$AC25 + AU25</f>
        <v>5388.8903152981848</v>
      </c>
      <c r="AW25" s="27">
        <f>SUM(AU25:AU50)</f>
        <v>234.98903324748201</v>
      </c>
      <c r="AX25" s="27">
        <f>SUM(AV25:AV50)</f>
        <v>21664.477717555565</v>
      </c>
      <c r="AY25" s="94">
        <f t="shared" ref="AY25:AY50" si="35">$AM25*$AD25</f>
        <v>383.70477098347391</v>
      </c>
      <c r="AZ25" s="94">
        <f t="shared" ref="AZ25:AZ50" si="36" xml:space="preserve"> AY25 / 2</f>
        <v>191.85238549173695</v>
      </c>
      <c r="BA25" s="27">
        <f t="shared" ref="BA25:BA50" si="37">$AN25*$AD25 + AZ25</f>
        <v>7698.4147361402611</v>
      </c>
      <c r="BB25" s="27">
        <f>SUM(AZ25:AZ50)</f>
        <v>335.69861892497414</v>
      </c>
      <c r="BC25" s="27">
        <f>$BA25+$BA26+$BA27+$BA28+$BA29+$BA30+$BA31+$BA32+$BA33+$BA34+$BA35+$BA36+$BA37+$BA38+$BA39+$BA40+$BA41+$BA42+$BA43+$BA44+$BA45+$BA46+$BA47+$BA48+$BA49+$BA50</f>
        <v>30949.25388222223</v>
      </c>
      <c r="BD25" s="18"/>
      <c r="BE25" s="34">
        <v>0.1152</v>
      </c>
      <c r="BF25" s="34">
        <v>5.4199999999999998E-2</v>
      </c>
      <c r="BG25">
        <v>2.3E-2</v>
      </c>
      <c r="BH25" s="47">
        <f>$AS25*$BE25</f>
        <v>1426.1416188928006</v>
      </c>
      <c r="BI25" s="27">
        <f>$AS25*$BF25</f>
        <v>670.97982416657806</v>
      </c>
      <c r="BJ25" s="27">
        <f>$AS25*$BG25</f>
        <v>284.73313571644456</v>
      </c>
      <c r="BK25" s="47">
        <f>$AX25*$BE25</f>
        <v>2495.7478330624008</v>
      </c>
      <c r="BL25" s="27">
        <f>$AX25*$BF25</f>
        <v>1174.2146922915115</v>
      </c>
      <c r="BM25" s="27">
        <f>$AX25*$BG25</f>
        <v>498.28298750377797</v>
      </c>
      <c r="BN25" s="47">
        <f>$BC25*$BE25</f>
        <v>3565.354047232001</v>
      </c>
      <c r="BO25" s="27">
        <f>$BC25*$BF25</f>
        <v>1677.4495604164449</v>
      </c>
      <c r="BP25" s="27">
        <f>$BC25*$BG25</f>
        <v>711.83283929111133</v>
      </c>
      <c r="BQ25" s="117"/>
      <c r="BR25" s="34">
        <f xml:space="preserve"> 1 - BE25</f>
        <v>0.88480000000000003</v>
      </c>
      <c r="BS25" s="34">
        <f xml:space="preserve"> 1 - BF25</f>
        <v>0.94579999999999997</v>
      </c>
      <c r="BT25">
        <f xml:space="preserve"> 1 - BG25</f>
        <v>0.97699999999999998</v>
      </c>
      <c r="BU25" s="47">
        <f xml:space="preserve"> AS25 * BR25</f>
        <v>10953.559933996095</v>
      </c>
      <c r="BV25" s="27">
        <f xml:space="preserve"> AS25 * BS25</f>
        <v>11708.721728722317</v>
      </c>
      <c r="BW25" s="27">
        <f xml:space="preserve"> AS25 * BT25</f>
        <v>12094.968417172451</v>
      </c>
      <c r="BX25" s="47">
        <f xml:space="preserve"> AX25 * BR25</f>
        <v>19168.729884493165</v>
      </c>
      <c r="BY25" s="27">
        <f xml:space="preserve"> AX25 * BS25</f>
        <v>20490.263025264052</v>
      </c>
      <c r="BZ25" s="27">
        <f xml:space="preserve"> AX25 * BT25</f>
        <v>21166.194730051786</v>
      </c>
      <c r="CA25" s="47">
        <f xml:space="preserve"> BC25 * BR25</f>
        <v>27383.899834990232</v>
      </c>
      <c r="CB25" s="27">
        <f xml:space="preserve"> BC25 * BS25</f>
        <v>29271.804321805786</v>
      </c>
      <c r="CC25" s="27">
        <f xml:space="preserve"> BC25 * BT25</f>
        <v>30237.421042931117</v>
      </c>
      <c r="CE25">
        <f xml:space="preserve"> 1 - 0.32</f>
        <v>0.67999999999999994</v>
      </c>
      <c r="CF25">
        <f>1-0.68</f>
        <v>0.31999999999999995</v>
      </c>
      <c r="CG25" s="27">
        <f xml:space="preserve"> BU25 * CE25</f>
        <v>7448.420755117344</v>
      </c>
      <c r="CH25" s="27">
        <f xml:space="preserve"> BU25 * CF25</f>
        <v>3505.13917887875</v>
      </c>
      <c r="CI25" s="27">
        <f xml:space="preserve"> BV25 * CE25</f>
        <v>7961.9307755311747</v>
      </c>
      <c r="CJ25" s="27">
        <f xml:space="preserve"> BV25 * CF25</f>
        <v>3746.7909531911409</v>
      </c>
      <c r="CK25" s="27">
        <f xml:space="preserve"> BW25 * CE25</f>
        <v>8224.5785236772663</v>
      </c>
      <c r="CL25" s="27">
        <f xml:space="preserve"> BW25 * CF25</f>
        <v>3870.389893495184</v>
      </c>
      <c r="CM25" s="27">
        <f xml:space="preserve"> BX25 * CE25</f>
        <v>13034.736321455352</v>
      </c>
      <c r="CN25" s="27">
        <f xml:space="preserve"> BX25 * CF25</f>
        <v>6133.9935630378113</v>
      </c>
      <c r="CO25" s="27">
        <f xml:space="preserve"> BY25 * CE25</f>
        <v>13933.378857179554</v>
      </c>
      <c r="CP25" s="27">
        <f xml:space="preserve"> BY25 * CF25</f>
        <v>6556.8841680844953</v>
      </c>
      <c r="CQ25" s="27">
        <f xml:space="preserve"> BZ25 * CE25</f>
        <v>14393.012416435213</v>
      </c>
      <c r="CR25" s="27">
        <f xml:space="preserve"> BZ25 * CF25</f>
        <v>6773.1823136165704</v>
      </c>
      <c r="CS25" s="27">
        <f xml:space="preserve"> CA25 * CE25</f>
        <v>18621.051887793357</v>
      </c>
      <c r="CT25" s="27">
        <f xml:space="preserve"> CA25 * CF25</f>
        <v>8762.8479471968731</v>
      </c>
      <c r="CU25" s="27">
        <f xml:space="preserve"> CB25 * CE25</f>
        <v>19904.826938827933</v>
      </c>
      <c r="CV25" s="27">
        <f xml:space="preserve"> CB25 * CF25</f>
        <v>9366.9773829778496</v>
      </c>
      <c r="CW25" s="27">
        <f xml:space="preserve"> CC25 * CE25</f>
        <v>20561.446309193158</v>
      </c>
      <c r="CX25" s="27">
        <f xml:space="preserve"> CC25 * CF25</f>
        <v>9675.9747337379558</v>
      </c>
      <c r="CZ25">
        <f xml:space="preserve"> 1 - 0.01</f>
        <v>0.99</v>
      </c>
      <c r="DA25">
        <v>0.75</v>
      </c>
      <c r="DB25" s="27">
        <f xml:space="preserve"> CG25 * CZ25</f>
        <v>7373.9365475661707</v>
      </c>
      <c r="DC25" s="27">
        <f xml:space="preserve"> CI25 * CZ25</f>
        <v>7882.3114677758631</v>
      </c>
      <c r="DD25" s="27">
        <f xml:space="preserve"> CK25 * CZ25</f>
        <v>8142.3327384404938</v>
      </c>
      <c r="DE25" s="27">
        <f xml:space="preserve"> CM25 * CZ25</f>
        <v>12904.388958240797</v>
      </c>
      <c r="DF25" s="27">
        <f xml:space="preserve"> CO25 * CZ25</f>
        <v>13794.045068607758</v>
      </c>
      <c r="DG25" s="27">
        <f xml:space="preserve"> CQ25 * CZ25</f>
        <v>14249.082292270861</v>
      </c>
      <c r="DH25" s="27">
        <f xml:space="preserve"> CS25 * CZ25</f>
        <v>18434.841368915422</v>
      </c>
      <c r="DI25" s="27">
        <f xml:space="preserve"> CU25 * CZ25</f>
        <v>19705.778669439653</v>
      </c>
      <c r="DJ25" s="27">
        <f xml:space="preserve"> CW25 * CZ25</f>
        <v>20355.831846101224</v>
      </c>
      <c r="DK25" s="27">
        <f xml:space="preserve"> CG25 * DA25</f>
        <v>5586.3155663380076</v>
      </c>
      <c r="DL25" s="27">
        <f xml:space="preserve"> CI25 * DA25</f>
        <v>5971.448081648381</v>
      </c>
      <c r="DM25" s="27">
        <f xml:space="preserve"> CK25 * DA25</f>
        <v>6168.4338927579502</v>
      </c>
      <c r="DN25" s="27">
        <f xml:space="preserve"> CM25 * DA25</f>
        <v>9776.0522410915146</v>
      </c>
      <c r="DO25" s="27">
        <f xml:space="preserve"> CO25 * DA25</f>
        <v>10450.034142884666</v>
      </c>
      <c r="DP25" s="27">
        <f xml:space="preserve"> CQ25 * DA25</f>
        <v>10794.759312326409</v>
      </c>
      <c r="DQ25" s="27">
        <f xml:space="preserve"> CS25 * DA25</f>
        <v>13965.788915845018</v>
      </c>
      <c r="DR25" s="27">
        <f xml:space="preserve"> CU25 * DA25</f>
        <v>14928.620204120951</v>
      </c>
      <c r="DS25" s="27">
        <f xml:space="preserve"> CW25 * DA25</f>
        <v>15421.084731894869</v>
      </c>
      <c r="DU25" s="27">
        <f>$BH25+$AW25 + $AE25</f>
        <v>1691.2364604814024</v>
      </c>
      <c r="DV25" s="27">
        <f>$BI25+$AW25 + $AE25</f>
        <v>936.07466575518004</v>
      </c>
      <c r="DW25" s="27">
        <f>$BJ25+$AW25 + $AE25</f>
        <v>549.8279773050466</v>
      </c>
      <c r="DX25" s="47">
        <f>$BK25+$AW25 + $AE25</f>
        <v>2760.8426746510027</v>
      </c>
      <c r="DY25" s="27">
        <f>$BL25+$AW25 + $AF25</f>
        <v>1461.8888901359535</v>
      </c>
      <c r="DZ25" s="42">
        <f>$BM25+$AW25 + $AF25</f>
        <v>785.95718534822004</v>
      </c>
      <c r="EA25" s="54">
        <f>$BB25+$BN25 +$AG25</f>
        <v>3976.3171870097754</v>
      </c>
      <c r="EB25" s="42">
        <f>$BB25+$BO25 +AG25</f>
        <v>2088.4127001942193</v>
      </c>
      <c r="EC25" s="42">
        <f>$BB25+$BP25 +AG25</f>
        <v>1122.7959790688853</v>
      </c>
      <c r="ED25" s="121" t="s">
        <v>374</v>
      </c>
      <c r="EE25" s="27">
        <f xml:space="preserve"> DK25 + DU25</f>
        <v>7277.5520268194105</v>
      </c>
      <c r="EF25" s="27">
        <f xml:space="preserve"> DL25 + DV25</f>
        <v>6907.522747403561</v>
      </c>
      <c r="EG25" s="27">
        <f>DM25 + DW25</f>
        <v>6718.2618700629964</v>
      </c>
      <c r="EH25" s="47">
        <f t="shared" ref="EH25:EM25" si="38" xml:space="preserve"> DN25 + DX25</f>
        <v>12536.894915742518</v>
      </c>
      <c r="EI25" s="27">
        <f xml:space="preserve"> DO25 + DY25</f>
        <v>11911.923033020619</v>
      </c>
      <c r="EJ25" s="42">
        <f t="shared" si="38"/>
        <v>11580.716497674628</v>
      </c>
      <c r="EK25" s="54">
        <f t="shared" si="38"/>
        <v>17942.106102854792</v>
      </c>
      <c r="EL25" s="42">
        <f t="shared" si="38"/>
        <v>17017.032904315169</v>
      </c>
      <c r="EM25" s="197">
        <f t="shared" si="38"/>
        <v>16543.880710963753</v>
      </c>
      <c r="EN25" s="27">
        <f xml:space="preserve"> DU25 + DB25</f>
        <v>9065.1730080475736</v>
      </c>
      <c r="EO25" s="27">
        <f xml:space="preserve"> DC25 + DV25</f>
        <v>8818.386133531043</v>
      </c>
      <c r="EP25" s="27">
        <f xml:space="preserve"> DW25 + DD25</f>
        <v>8692.1607157455401</v>
      </c>
      <c r="EQ25" s="47">
        <f xml:space="preserve"> DE25 + DX25</f>
        <v>15665.2316328918</v>
      </c>
      <c r="ER25" s="27">
        <f xml:space="preserve"> DF25 + DY25</f>
        <v>15255.933958743712</v>
      </c>
      <c r="ES25" s="42">
        <f xml:space="preserve"> DG25 + DZ25</f>
        <v>15035.039477619081</v>
      </c>
      <c r="ET25" s="54">
        <f xml:space="preserve"> DH25 + EA25</f>
        <v>22411.158555925198</v>
      </c>
      <c r="EU25" s="42">
        <f xml:space="preserve"> DI25 +EB25</f>
        <v>21794.191369633871</v>
      </c>
      <c r="EV25" s="197">
        <f xml:space="preserve"> DJ25 + EC25</f>
        <v>21478.627825170108</v>
      </c>
    </row>
    <row r="26" spans="1:155" x14ac:dyDescent="0.2">
      <c r="A26" s="3" t="s">
        <v>48</v>
      </c>
      <c r="B26">
        <v>2369</v>
      </c>
      <c r="C26">
        <v>1327</v>
      </c>
      <c r="D26">
        <v>0.63</v>
      </c>
      <c r="E26">
        <v>0.32</v>
      </c>
      <c r="F26" s="2">
        <f t="shared" si="21"/>
        <v>758.08</v>
      </c>
      <c r="G26" t="s">
        <v>11</v>
      </c>
      <c r="H26" s="20"/>
      <c r="I26" s="21"/>
      <c r="J26">
        <v>758</v>
      </c>
      <c r="K26" s="94">
        <v>0.28044000000000002</v>
      </c>
      <c r="L26" s="94">
        <v>0.49076999999999998</v>
      </c>
      <c r="M26" s="94">
        <v>0.70109999999999995</v>
      </c>
      <c r="N26">
        <v>0.63</v>
      </c>
      <c r="O26" s="38">
        <v>477.54</v>
      </c>
      <c r="P26" s="27">
        <f t="shared" si="22"/>
        <v>133.92131760000001</v>
      </c>
      <c r="Q26" s="27">
        <f t="shared" si="23"/>
        <v>234.36230579999997</v>
      </c>
      <c r="R26" s="27">
        <f t="shared" si="24"/>
        <v>334.80329399999994</v>
      </c>
      <c r="S26" s="27"/>
      <c r="T26" s="27"/>
      <c r="U26" s="27"/>
      <c r="V26" s="18"/>
      <c r="W26">
        <v>2.3999999999999998E-3</v>
      </c>
      <c r="X26">
        <v>0.99760000000000004</v>
      </c>
      <c r="Y26" s="94">
        <f t="shared" si="25"/>
        <v>0.32141116223999999</v>
      </c>
      <c r="Z26" s="94">
        <f t="shared" si="26"/>
        <v>0.56246953391999988</v>
      </c>
      <c r="AA26" s="94">
        <f t="shared" si="27"/>
        <v>0.80352790559999976</v>
      </c>
      <c r="AB26" s="94">
        <f t="shared" si="28"/>
        <v>133.59990643776001</v>
      </c>
      <c r="AC26" s="94">
        <f t="shared" si="29"/>
        <v>233.79983626607998</v>
      </c>
      <c r="AD26" s="94">
        <f t="shared" si="30"/>
        <v>333.99976609439994</v>
      </c>
      <c r="AK26" s="18"/>
      <c r="AL26">
        <v>471</v>
      </c>
      <c r="AM26" s="34">
        <f t="shared" ref="AM26:AM50" si="39">$AL26/8760</f>
        <v>5.3767123287671234E-2</v>
      </c>
      <c r="AN26" s="34">
        <f t="shared" si="31"/>
        <v>0.94623287671232881</v>
      </c>
      <c r="AO26" s="94">
        <f t="shared" ref="AO26:AO50" si="40">$AB26*$AM26</f>
        <v>7.1832826406603845</v>
      </c>
      <c r="AP26" s="94">
        <f t="shared" si="32"/>
        <v>3.5916413203301922</v>
      </c>
      <c r="AQ26" s="94">
        <f t="shared" ref="AQ26:AQ35" si="41">$AB26*$AN26 + $AP26</f>
        <v>130.00826511742983</v>
      </c>
      <c r="AR26" s="27"/>
      <c r="AS26" s="27"/>
      <c r="AT26" s="94">
        <f t="shared" si="33"/>
        <v>12.57074462115567</v>
      </c>
      <c r="AU26" s="94">
        <f t="shared" si="34"/>
        <v>6.2853723105778352</v>
      </c>
      <c r="AV26" s="27">
        <f t="shared" ref="AV26:AV50" si="42">$AN26*$AC26 + AU26</f>
        <v>227.51446395550215</v>
      </c>
      <c r="AX26" s="27"/>
      <c r="AY26" s="94">
        <f t="shared" si="35"/>
        <v>17.958206601650957</v>
      </c>
      <c r="AZ26" s="94">
        <f t="shared" si="36"/>
        <v>8.9791033008254786</v>
      </c>
      <c r="BA26" s="27">
        <f t="shared" si="37"/>
        <v>325.0206627935745</v>
      </c>
      <c r="BB26" s="27"/>
      <c r="BC26" s="27"/>
      <c r="BD26" s="18"/>
      <c r="BQ26" s="117"/>
      <c r="BX26" s="251"/>
      <c r="BY26" s="251"/>
      <c r="BZ26" s="251"/>
      <c r="DZ26" s="38"/>
      <c r="EA26" s="38"/>
      <c r="EB26" s="38"/>
      <c r="EC26" s="38"/>
      <c r="ED26" s="38" t="s">
        <v>373</v>
      </c>
      <c r="EE26" s="38"/>
      <c r="EF26" s="238"/>
      <c r="EG26" s="238">
        <v>6.69</v>
      </c>
      <c r="EH26" s="38"/>
      <c r="EI26" s="38"/>
      <c r="EJ26" s="38"/>
      <c r="EK26" s="238">
        <v>17.87</v>
      </c>
      <c r="EL26" s="38"/>
      <c r="EM26" s="237"/>
      <c r="EN26" s="38"/>
      <c r="EO26" s="38"/>
      <c r="EP26" s="38"/>
      <c r="EQ26" s="38"/>
      <c r="ER26" s="38"/>
      <c r="ES26" s="38"/>
      <c r="ET26" s="38"/>
      <c r="EU26" s="38"/>
      <c r="EV26" s="38"/>
      <c r="EW26" s="38"/>
      <c r="EX26" s="38"/>
      <c r="EY26" s="38"/>
    </row>
    <row r="27" spans="1:155" x14ac:dyDescent="0.2">
      <c r="A27" s="3" t="s">
        <v>49</v>
      </c>
      <c r="B27">
        <v>1522</v>
      </c>
      <c r="C27">
        <v>1386</v>
      </c>
      <c r="D27">
        <v>1.43</v>
      </c>
      <c r="E27">
        <v>0.42299999999999999</v>
      </c>
      <c r="F27" s="2">
        <f t="shared" si="21"/>
        <v>643.80599999999993</v>
      </c>
      <c r="G27" t="s">
        <v>11</v>
      </c>
      <c r="H27" s="20"/>
      <c r="I27" s="21"/>
      <c r="J27">
        <v>644</v>
      </c>
      <c r="K27" s="94">
        <v>0.28044000000000002</v>
      </c>
      <c r="L27" s="94">
        <v>0.49076999999999998</v>
      </c>
      <c r="M27" s="94">
        <v>0.70109999999999995</v>
      </c>
      <c r="N27">
        <v>1.43</v>
      </c>
      <c r="O27" s="38">
        <v>920.92</v>
      </c>
      <c r="P27" s="27">
        <f t="shared" si="22"/>
        <v>258.26280480000003</v>
      </c>
      <c r="Q27" s="27">
        <f t="shared" si="23"/>
        <v>451.95990839999996</v>
      </c>
      <c r="R27" s="27">
        <f t="shared" si="24"/>
        <v>645.6570119999999</v>
      </c>
      <c r="S27" s="27"/>
      <c r="T27" s="27"/>
      <c r="U27" s="27"/>
      <c r="V27" s="18"/>
      <c r="W27">
        <v>2.3999999999999998E-3</v>
      </c>
      <c r="X27">
        <v>0.99760000000000004</v>
      </c>
      <c r="Y27" s="94">
        <f t="shared" si="25"/>
        <v>0.61983073152000001</v>
      </c>
      <c r="Z27" s="94">
        <f t="shared" si="26"/>
        <v>1.0847037801599999</v>
      </c>
      <c r="AA27" s="94">
        <f t="shared" si="27"/>
        <v>1.5495768287999996</v>
      </c>
      <c r="AB27" s="94">
        <f t="shared" si="28"/>
        <v>257.64297406848004</v>
      </c>
      <c r="AC27" s="94">
        <f t="shared" si="29"/>
        <v>450.87520461983996</v>
      </c>
      <c r="AD27" s="94">
        <f t="shared" si="30"/>
        <v>644.10743517119988</v>
      </c>
      <c r="AK27" s="18"/>
      <c r="AL27">
        <v>0</v>
      </c>
      <c r="AM27" s="34">
        <f t="shared" si="39"/>
        <v>0</v>
      </c>
      <c r="AN27" s="34">
        <f t="shared" si="31"/>
        <v>1</v>
      </c>
      <c r="AO27" s="94">
        <f t="shared" si="40"/>
        <v>0</v>
      </c>
      <c r="AP27" s="94">
        <f t="shared" si="32"/>
        <v>0</v>
      </c>
      <c r="AQ27" s="94">
        <f t="shared" si="41"/>
        <v>257.64297406848004</v>
      </c>
      <c r="AR27" s="27"/>
      <c r="AS27" s="27"/>
      <c r="AT27" s="94">
        <f t="shared" si="33"/>
        <v>0</v>
      </c>
      <c r="AU27" s="94">
        <f t="shared" si="34"/>
        <v>0</v>
      </c>
      <c r="AV27" s="27">
        <f t="shared" si="42"/>
        <v>450.87520461983996</v>
      </c>
      <c r="AW27" s="27"/>
      <c r="AX27" s="27"/>
      <c r="AY27" s="94">
        <f t="shared" si="35"/>
        <v>0</v>
      </c>
      <c r="AZ27" s="94">
        <f t="shared" si="36"/>
        <v>0</v>
      </c>
      <c r="BA27" s="27">
        <f t="shared" si="37"/>
        <v>644.10743517119988</v>
      </c>
      <c r="BB27" s="27"/>
      <c r="BC27" s="27"/>
      <c r="BD27" s="18"/>
      <c r="BQ27" s="117"/>
      <c r="BX27" s="251"/>
      <c r="BY27" s="251"/>
      <c r="BZ27" s="251"/>
      <c r="DN27" s="260"/>
      <c r="DO27" s="260"/>
      <c r="DP27" s="260"/>
      <c r="DQ27" s="260"/>
      <c r="DZ27" s="38"/>
      <c r="EA27" s="38"/>
      <c r="EB27" s="38"/>
      <c r="EC27" s="38"/>
      <c r="ED27" s="38"/>
      <c r="EE27" s="38"/>
      <c r="EF27" s="38"/>
      <c r="EL27" s="38"/>
      <c r="EM27" s="38"/>
      <c r="EN27" s="38"/>
      <c r="EO27" s="38"/>
      <c r="EP27" s="38"/>
      <c r="EQ27" s="38"/>
      <c r="ER27" s="38"/>
      <c r="ES27" s="38"/>
      <c r="ET27" s="38"/>
      <c r="EU27" s="38"/>
      <c r="EV27" s="38"/>
    </row>
    <row r="28" spans="1:155" x14ac:dyDescent="0.2">
      <c r="A28" s="3" t="s">
        <v>50</v>
      </c>
      <c r="B28">
        <v>1607</v>
      </c>
      <c r="C28">
        <v>1723</v>
      </c>
      <c r="D28">
        <v>0.67</v>
      </c>
      <c r="E28">
        <v>0.66</v>
      </c>
      <c r="F28" s="2">
        <f t="shared" si="21"/>
        <v>1060.6200000000001</v>
      </c>
      <c r="G28" t="s">
        <v>11</v>
      </c>
      <c r="H28" s="20"/>
      <c r="I28" s="21"/>
      <c r="J28">
        <v>1061</v>
      </c>
      <c r="K28" s="94">
        <v>0.28044000000000002</v>
      </c>
      <c r="L28" s="94">
        <v>0.49076999999999998</v>
      </c>
      <c r="M28" s="94">
        <v>0.70109999999999995</v>
      </c>
      <c r="N28">
        <v>0.67</v>
      </c>
      <c r="O28" s="38">
        <v>710.87</v>
      </c>
      <c r="P28" s="27">
        <f t="shared" si="22"/>
        <v>199.35638280000003</v>
      </c>
      <c r="Q28" s="27">
        <f t="shared" si="23"/>
        <v>348.87366989999998</v>
      </c>
      <c r="R28" s="27">
        <f t="shared" si="24"/>
        <v>498.39095700000001</v>
      </c>
      <c r="S28" s="27"/>
      <c r="T28" s="27"/>
      <c r="U28" s="27"/>
      <c r="V28" s="18"/>
      <c r="W28">
        <v>2.3999999999999998E-3</v>
      </c>
      <c r="X28">
        <v>0.99760000000000004</v>
      </c>
      <c r="Y28" s="94">
        <f t="shared" si="25"/>
        <v>0.47845531872000002</v>
      </c>
      <c r="Z28" s="94">
        <f t="shared" si="26"/>
        <v>0.83729680775999993</v>
      </c>
      <c r="AA28" s="94">
        <f t="shared" si="27"/>
        <v>1.1961382967999998</v>
      </c>
      <c r="AB28" s="94">
        <f t="shared" si="28"/>
        <v>198.87792748128004</v>
      </c>
      <c r="AC28" s="94">
        <f t="shared" si="29"/>
        <v>348.03637309224001</v>
      </c>
      <c r="AD28" s="94">
        <f t="shared" si="30"/>
        <v>497.19481870320004</v>
      </c>
      <c r="AK28" s="18"/>
      <c r="AL28">
        <v>121</v>
      </c>
      <c r="AM28" s="34">
        <f t="shared" si="39"/>
        <v>1.3812785388127854E-2</v>
      </c>
      <c r="AN28" s="34">
        <f t="shared" si="31"/>
        <v>0.9861872146118722</v>
      </c>
      <c r="AO28" s="94">
        <f t="shared" si="40"/>
        <v>2.7470581307345761</v>
      </c>
      <c r="AP28" s="94">
        <f t="shared" si="32"/>
        <v>1.373529065367288</v>
      </c>
      <c r="AQ28" s="94">
        <f t="shared" si="41"/>
        <v>197.50439841591276</v>
      </c>
      <c r="AR28" s="27"/>
      <c r="AS28" s="27"/>
      <c r="AT28" s="94">
        <f t="shared" si="33"/>
        <v>4.8073517287855072</v>
      </c>
      <c r="AU28" s="94">
        <f t="shared" si="34"/>
        <v>2.4036758643927536</v>
      </c>
      <c r="AV28" s="27">
        <f t="shared" si="42"/>
        <v>345.6326972278473</v>
      </c>
      <c r="AW28" s="27"/>
      <c r="AX28" s="27"/>
      <c r="AY28" s="94">
        <f t="shared" si="35"/>
        <v>6.8676453268364392</v>
      </c>
      <c r="AZ28" s="94">
        <f t="shared" si="36"/>
        <v>3.4338226634182196</v>
      </c>
      <c r="BA28" s="27">
        <f t="shared" si="37"/>
        <v>493.76099603978184</v>
      </c>
      <c r="BB28" s="27"/>
      <c r="BC28" s="27"/>
      <c r="BD28" s="18"/>
      <c r="BQ28" s="117"/>
      <c r="BX28" s="251"/>
      <c r="BY28" s="251"/>
      <c r="BZ28" s="251"/>
      <c r="CE28" s="172" t="s">
        <v>289</v>
      </c>
      <c r="CF28" s="172"/>
      <c r="CG28" s="173"/>
      <c r="CH28" s="173"/>
      <c r="CI28" s="173"/>
      <c r="CJ28" s="173"/>
      <c r="CK28" s="173"/>
      <c r="CL28" s="173"/>
      <c r="CM28" s="173"/>
      <c r="CN28" s="173"/>
      <c r="CO28" s="173"/>
      <c r="CP28" s="173"/>
      <c r="CQ28" s="173"/>
      <c r="CR28" s="173"/>
      <c r="CS28" s="173"/>
      <c r="CT28" s="173"/>
      <c r="DN28" s="260"/>
      <c r="DO28" s="260"/>
      <c r="DP28" s="260"/>
      <c r="DQ28" s="260"/>
      <c r="DZ28" s="38"/>
      <c r="EA28" s="38"/>
      <c r="EB28" s="38"/>
      <c r="EC28" s="38"/>
      <c r="ED28" s="38"/>
      <c r="EE28" s="38"/>
      <c r="EF28" s="38"/>
      <c r="EG28" s="261"/>
      <c r="EH28" s="261"/>
      <c r="EI28" s="261"/>
      <c r="EJ28" s="261"/>
      <c r="EK28" s="261"/>
      <c r="EL28" s="38"/>
      <c r="EM28" s="38"/>
      <c r="EN28" s="38"/>
      <c r="EO28" s="38"/>
      <c r="EP28" s="38"/>
      <c r="EQ28" s="38"/>
      <c r="ER28" s="38"/>
      <c r="ES28" s="38"/>
      <c r="ET28" s="38"/>
      <c r="EU28" s="38"/>
      <c r="EV28" s="38"/>
    </row>
    <row r="29" spans="1:155" ht="17" x14ac:dyDescent="0.2">
      <c r="A29" s="3" t="s">
        <v>51</v>
      </c>
      <c r="B29">
        <v>1212</v>
      </c>
      <c r="C29">
        <v>741</v>
      </c>
      <c r="D29">
        <v>6.44</v>
      </c>
      <c r="E29">
        <v>0.95</v>
      </c>
      <c r="F29" s="2">
        <f t="shared" si="21"/>
        <v>1151.3999999999999</v>
      </c>
      <c r="G29" t="s">
        <v>11</v>
      </c>
      <c r="H29" s="20"/>
      <c r="I29" s="21"/>
      <c r="J29">
        <v>1151</v>
      </c>
      <c r="K29" s="94">
        <v>0.28044000000000002</v>
      </c>
      <c r="L29" s="94">
        <v>0.49076999999999998</v>
      </c>
      <c r="M29" s="94">
        <v>0.70109999999999995</v>
      </c>
      <c r="N29">
        <v>6.44</v>
      </c>
      <c r="O29" s="38">
        <v>7412.44</v>
      </c>
      <c r="P29" s="27">
        <f t="shared" si="22"/>
        <v>2078.7446736000002</v>
      </c>
      <c r="Q29" s="27">
        <f t="shared" si="23"/>
        <v>3637.8031788000003</v>
      </c>
      <c r="R29" s="27">
        <f t="shared" si="24"/>
        <v>5196.8616840000004</v>
      </c>
      <c r="S29" s="27"/>
      <c r="T29" s="27"/>
      <c r="U29" s="27"/>
      <c r="V29" s="18"/>
      <c r="W29">
        <v>2.3999999999999998E-3</v>
      </c>
      <c r="X29">
        <v>0.99760000000000004</v>
      </c>
      <c r="Y29" s="94">
        <f t="shared" si="25"/>
        <v>4.98898721664</v>
      </c>
      <c r="Z29" s="94">
        <f t="shared" si="26"/>
        <v>8.7307276291200004</v>
      </c>
      <c r="AA29" s="94">
        <f t="shared" si="27"/>
        <v>12.472468041599999</v>
      </c>
      <c r="AB29" s="94">
        <f t="shared" si="28"/>
        <v>2073.7556863833602</v>
      </c>
      <c r="AC29" s="94">
        <f t="shared" si="29"/>
        <v>3629.0724511708804</v>
      </c>
      <c r="AD29" s="94">
        <f t="shared" si="30"/>
        <v>5184.3892159584002</v>
      </c>
      <c r="AK29" s="18"/>
      <c r="AL29">
        <v>2</v>
      </c>
      <c r="AM29" s="34">
        <f t="shared" si="39"/>
        <v>2.2831050228310502E-4</v>
      </c>
      <c r="AN29" s="34">
        <f t="shared" si="31"/>
        <v>0.99977168949771689</v>
      </c>
      <c r="AO29" s="94">
        <f t="shared" si="40"/>
        <v>0.47346020237063013</v>
      </c>
      <c r="AP29" s="94">
        <f t="shared" si="32"/>
        <v>0.23673010118531507</v>
      </c>
      <c r="AQ29" s="94">
        <f t="shared" si="41"/>
        <v>2073.5189562821752</v>
      </c>
      <c r="AR29" s="27"/>
      <c r="AS29" s="27"/>
      <c r="AT29" s="94">
        <f t="shared" si="33"/>
        <v>0.82855535414860282</v>
      </c>
      <c r="AU29" s="94">
        <f t="shared" si="34"/>
        <v>0.41427767707430141</v>
      </c>
      <c r="AV29" s="27">
        <f t="shared" si="42"/>
        <v>3628.6581734938059</v>
      </c>
      <c r="AW29" s="27"/>
      <c r="AX29" s="27"/>
      <c r="AY29" s="94">
        <f t="shared" si="35"/>
        <v>1.1836505059265754</v>
      </c>
      <c r="AZ29" s="94">
        <f t="shared" si="36"/>
        <v>0.5918252529632877</v>
      </c>
      <c r="BA29" s="27">
        <f t="shared" si="37"/>
        <v>5183.7973907054375</v>
      </c>
      <c r="BB29" s="27"/>
      <c r="BC29" s="27"/>
      <c r="BD29" s="18"/>
      <c r="BQ29" s="117"/>
      <c r="BX29" s="251"/>
      <c r="BY29" s="251"/>
      <c r="BZ29" s="251"/>
      <c r="CE29" s="171" t="s">
        <v>93</v>
      </c>
      <c r="DN29" s="260"/>
      <c r="DO29" s="260"/>
      <c r="DP29" s="260"/>
      <c r="DQ29" s="260"/>
      <c r="DZ29" s="38"/>
      <c r="EA29" s="38"/>
      <c r="EB29" s="38"/>
      <c r="EC29" s="38"/>
      <c r="ED29" s="38"/>
      <c r="EE29" s="38"/>
      <c r="EF29" s="38"/>
      <c r="EG29" s="261"/>
      <c r="EH29" s="261"/>
      <c r="EI29" s="261"/>
      <c r="EJ29" s="261"/>
      <c r="EK29" s="261"/>
      <c r="EL29" s="38"/>
      <c r="EM29" s="38"/>
      <c r="EN29" s="38"/>
      <c r="EO29" s="38"/>
      <c r="EP29" s="38"/>
      <c r="EQ29" s="38"/>
      <c r="ER29" s="38"/>
      <c r="ES29" s="38"/>
      <c r="ET29" s="38"/>
      <c r="EU29" s="38"/>
      <c r="EV29" s="38"/>
    </row>
    <row r="30" spans="1:155" x14ac:dyDescent="0.2">
      <c r="A30" s="3" t="s">
        <v>52</v>
      </c>
      <c r="B30">
        <v>1569</v>
      </c>
      <c r="C30">
        <v>87</v>
      </c>
      <c r="D30">
        <v>1.47</v>
      </c>
      <c r="E30">
        <v>0.21</v>
      </c>
      <c r="F30" s="2">
        <f t="shared" si="21"/>
        <v>329.49</v>
      </c>
      <c r="G30" t="s">
        <v>11</v>
      </c>
      <c r="H30" s="20"/>
      <c r="I30" s="21"/>
      <c r="J30">
        <v>329</v>
      </c>
      <c r="K30" s="94">
        <v>0.28044000000000002</v>
      </c>
      <c r="L30" s="94">
        <v>0.49076999999999998</v>
      </c>
      <c r="M30" s="94">
        <v>0.70109999999999995</v>
      </c>
      <c r="N30">
        <v>1.47</v>
      </c>
      <c r="O30" s="38">
        <v>483.63</v>
      </c>
      <c r="P30" s="27">
        <f t="shared" si="22"/>
        <v>135.62919720000002</v>
      </c>
      <c r="Q30" s="27">
        <f t="shared" si="23"/>
        <v>237.35109509999998</v>
      </c>
      <c r="R30" s="27">
        <f t="shared" si="24"/>
        <v>339.07299299999994</v>
      </c>
      <c r="S30" s="27"/>
      <c r="T30" s="27"/>
      <c r="U30" s="27"/>
      <c r="V30" s="18"/>
      <c r="W30">
        <v>2.3999999999999998E-3</v>
      </c>
      <c r="X30">
        <v>0.99760000000000004</v>
      </c>
      <c r="Y30" s="94">
        <f t="shared" si="25"/>
        <v>0.32551007328000003</v>
      </c>
      <c r="Z30" s="94">
        <f t="shared" si="26"/>
        <v>0.56964262823999989</v>
      </c>
      <c r="AA30" s="94">
        <f t="shared" si="27"/>
        <v>0.81377518319999975</v>
      </c>
      <c r="AB30" s="94">
        <f t="shared" si="28"/>
        <v>135.30368712672004</v>
      </c>
      <c r="AC30" s="94">
        <f t="shared" si="29"/>
        <v>236.78145247175999</v>
      </c>
      <c r="AD30" s="94">
        <f t="shared" si="30"/>
        <v>338.25921781679995</v>
      </c>
      <c r="AK30" s="18"/>
      <c r="AL30">
        <v>0</v>
      </c>
      <c r="AM30" s="34">
        <f t="shared" si="39"/>
        <v>0</v>
      </c>
      <c r="AN30" s="34">
        <f t="shared" si="31"/>
        <v>1</v>
      </c>
      <c r="AO30" s="94">
        <f t="shared" si="40"/>
        <v>0</v>
      </c>
      <c r="AP30" s="94">
        <f t="shared" si="32"/>
        <v>0</v>
      </c>
      <c r="AQ30" s="94">
        <f t="shared" si="41"/>
        <v>135.30368712672004</v>
      </c>
      <c r="AR30" s="27"/>
      <c r="AS30" s="27"/>
      <c r="AT30" s="94">
        <f t="shared" si="33"/>
        <v>0</v>
      </c>
      <c r="AU30" s="94">
        <f t="shared" si="34"/>
        <v>0</v>
      </c>
      <c r="AV30" s="27">
        <f t="shared" si="42"/>
        <v>236.78145247175999</v>
      </c>
      <c r="AW30" s="27"/>
      <c r="AX30" s="27"/>
      <c r="AY30" s="94">
        <f t="shared" si="35"/>
        <v>0</v>
      </c>
      <c r="AZ30" s="94">
        <f t="shared" si="36"/>
        <v>0</v>
      </c>
      <c r="BA30" s="27">
        <f t="shared" si="37"/>
        <v>338.25921781679995</v>
      </c>
      <c r="BB30" s="27"/>
      <c r="BC30" s="27"/>
      <c r="BD30" s="18"/>
      <c r="BQ30" s="117"/>
      <c r="BX30" s="251"/>
      <c r="BY30" s="251"/>
      <c r="BZ30" s="251"/>
      <c r="CM30" s="260"/>
      <c r="CN30" s="260"/>
      <c r="CO30" s="260"/>
      <c r="CP30" s="260"/>
      <c r="CQ30" s="260"/>
      <c r="CR30" s="260"/>
      <c r="CS30" s="260"/>
      <c r="DN30" s="260"/>
      <c r="DO30" s="260"/>
      <c r="DP30" s="260"/>
      <c r="DQ30" s="260"/>
      <c r="DZ30" s="38"/>
      <c r="EA30" s="38"/>
      <c r="EB30" s="38"/>
      <c r="EC30" s="38"/>
      <c r="ED30" s="38"/>
      <c r="EE30" s="38"/>
      <c r="EF30" s="38"/>
      <c r="EG30" s="261"/>
      <c r="EH30" s="261"/>
      <c r="EI30" s="261"/>
      <c r="EJ30" s="261"/>
      <c r="EK30" s="261"/>
      <c r="EL30" s="38"/>
      <c r="EM30" s="38"/>
      <c r="EN30" s="38"/>
      <c r="EO30" s="38"/>
      <c r="EP30" s="38"/>
      <c r="EQ30" s="38"/>
      <c r="ER30" s="38"/>
      <c r="ES30" s="38"/>
      <c r="ET30" s="38"/>
      <c r="EU30" s="38"/>
      <c r="EV30" s="38"/>
    </row>
    <row r="31" spans="1:155" x14ac:dyDescent="0.2">
      <c r="A31" s="3" t="s">
        <v>54</v>
      </c>
      <c r="B31">
        <v>1540</v>
      </c>
      <c r="C31">
        <v>570</v>
      </c>
      <c r="D31">
        <v>1.19</v>
      </c>
      <c r="E31">
        <v>0.15</v>
      </c>
      <c r="F31" s="2">
        <f t="shared" si="21"/>
        <v>231</v>
      </c>
      <c r="G31" t="s">
        <v>11</v>
      </c>
      <c r="H31" s="20"/>
      <c r="I31" s="21"/>
      <c r="J31">
        <v>231</v>
      </c>
      <c r="K31" s="94">
        <v>0.28044000000000002</v>
      </c>
      <c r="L31" s="94">
        <v>0.49076999999999998</v>
      </c>
      <c r="M31" s="94">
        <v>0.70109999999999995</v>
      </c>
      <c r="N31">
        <v>1.19</v>
      </c>
      <c r="O31" s="38">
        <v>274.89</v>
      </c>
      <c r="P31" s="27">
        <f t="shared" si="22"/>
        <v>77.090151600000013</v>
      </c>
      <c r="Q31" s="27">
        <f t="shared" si="23"/>
        <v>134.90776529999999</v>
      </c>
      <c r="R31" s="27">
        <f t="shared" si="24"/>
        <v>192.72537899999998</v>
      </c>
      <c r="S31" s="27"/>
      <c r="T31" s="27"/>
      <c r="U31" s="27"/>
      <c r="V31" s="18"/>
      <c r="W31">
        <v>2.3999999999999998E-3</v>
      </c>
      <c r="X31">
        <v>0.99760000000000004</v>
      </c>
      <c r="Y31" s="94">
        <f t="shared" si="25"/>
        <v>0.18501636384</v>
      </c>
      <c r="Z31" s="94">
        <f t="shared" si="26"/>
        <v>0.32377863671999996</v>
      </c>
      <c r="AA31" s="94">
        <f t="shared" si="27"/>
        <v>0.46254090959999988</v>
      </c>
      <c r="AB31" s="94">
        <f t="shared" si="28"/>
        <v>76.905135236160021</v>
      </c>
      <c r="AC31" s="94">
        <f t="shared" si="29"/>
        <v>134.58398666328</v>
      </c>
      <c r="AD31" s="94">
        <f t="shared" si="30"/>
        <v>192.26283809039998</v>
      </c>
      <c r="AK31" s="18"/>
      <c r="AL31">
        <v>19</v>
      </c>
      <c r="AM31" s="34">
        <f t="shared" si="39"/>
        <v>2.1689497716894978E-3</v>
      </c>
      <c r="AN31" s="34">
        <f t="shared" si="31"/>
        <v>0.99783105022831053</v>
      </c>
      <c r="AO31" s="94">
        <f t="shared" si="40"/>
        <v>0.16680337551221922</v>
      </c>
      <c r="AP31" s="94">
        <f t="shared" si="32"/>
        <v>8.3401687756109608E-2</v>
      </c>
      <c r="AQ31" s="94">
        <f t="shared" si="41"/>
        <v>76.821733548403913</v>
      </c>
      <c r="AR31" s="27"/>
      <c r="AS31" s="27"/>
      <c r="AT31" s="94">
        <f t="shared" si="33"/>
        <v>0.29190590714638359</v>
      </c>
      <c r="AU31" s="94">
        <f t="shared" si="34"/>
        <v>0.1459529535731918</v>
      </c>
      <c r="AV31" s="27">
        <f t="shared" si="42"/>
        <v>134.43803370970681</v>
      </c>
      <c r="AW31" s="27"/>
      <c r="AX31" s="27"/>
      <c r="AY31" s="94">
        <f t="shared" si="35"/>
        <v>0.41700843878054794</v>
      </c>
      <c r="AZ31" s="94">
        <f t="shared" si="36"/>
        <v>0.20850421939027397</v>
      </c>
      <c r="BA31" s="27">
        <f t="shared" si="37"/>
        <v>192.0543338710097</v>
      </c>
      <c r="BB31" s="27"/>
      <c r="BC31" s="27"/>
      <c r="BD31" s="18"/>
      <c r="BQ31" s="117"/>
      <c r="BX31" s="251"/>
      <c r="BY31" s="251"/>
      <c r="BZ31" s="251"/>
      <c r="CM31" s="260"/>
      <c r="CN31" s="260"/>
      <c r="CO31" s="260"/>
      <c r="CP31" s="260"/>
      <c r="CQ31" s="260"/>
      <c r="CR31" s="260"/>
      <c r="CS31" s="260"/>
      <c r="DN31" s="260"/>
      <c r="DO31" s="260"/>
      <c r="DP31" s="260"/>
      <c r="DQ31" s="260"/>
      <c r="DZ31" s="38"/>
      <c r="EA31" s="38"/>
      <c r="EB31" s="38"/>
      <c r="EC31" s="38"/>
      <c r="ED31" s="38"/>
      <c r="EE31" s="38"/>
      <c r="EF31" s="38"/>
      <c r="EG31" s="261"/>
      <c r="EH31" s="261"/>
      <c r="EI31" s="261"/>
      <c r="EJ31" s="261"/>
      <c r="EK31" s="261"/>
      <c r="EL31" s="38"/>
      <c r="EM31" s="38"/>
      <c r="EN31" s="38"/>
      <c r="EO31" s="38"/>
      <c r="EP31" s="38"/>
      <c r="EQ31" s="38"/>
      <c r="ER31" s="38"/>
      <c r="ES31" s="38"/>
      <c r="ET31" s="38"/>
      <c r="EU31" s="38"/>
      <c r="EV31" s="38"/>
    </row>
    <row r="32" spans="1:155" x14ac:dyDescent="0.2">
      <c r="A32" s="3" t="s">
        <v>55</v>
      </c>
      <c r="B32">
        <v>1512</v>
      </c>
      <c r="C32">
        <v>1053</v>
      </c>
      <c r="D32">
        <v>0.46</v>
      </c>
      <c r="E32">
        <v>0.1</v>
      </c>
      <c r="F32" s="2">
        <f t="shared" si="21"/>
        <v>151.20000000000002</v>
      </c>
      <c r="G32" t="s">
        <v>11</v>
      </c>
      <c r="H32" s="20"/>
      <c r="I32" s="21"/>
      <c r="J32">
        <v>151</v>
      </c>
      <c r="K32" s="94">
        <v>0.28044000000000002</v>
      </c>
      <c r="L32" s="94">
        <v>0.49076999999999998</v>
      </c>
      <c r="M32" s="94">
        <v>0.70109999999999995</v>
      </c>
      <c r="N32">
        <v>0.46</v>
      </c>
      <c r="O32" s="38">
        <v>69.459999999999994</v>
      </c>
      <c r="P32" s="27">
        <f t="shared" si="22"/>
        <v>19.479362400000003</v>
      </c>
      <c r="Q32" s="27">
        <f t="shared" si="23"/>
        <v>34.088884200000003</v>
      </c>
      <c r="R32" s="27">
        <f t="shared" si="24"/>
        <v>48.698405999999999</v>
      </c>
      <c r="S32" s="27"/>
      <c r="T32" s="27"/>
      <c r="U32" s="27"/>
      <c r="V32" s="18"/>
      <c r="W32">
        <v>2.3999999999999998E-3</v>
      </c>
      <c r="X32">
        <v>0.99760000000000004</v>
      </c>
      <c r="Y32" s="94">
        <f t="shared" si="25"/>
        <v>4.6750469760000003E-2</v>
      </c>
      <c r="Z32" s="94">
        <f t="shared" si="26"/>
        <v>8.1813322080000001E-2</v>
      </c>
      <c r="AA32" s="94">
        <f t="shared" si="27"/>
        <v>0.11687617439999999</v>
      </c>
      <c r="AB32" s="94">
        <f t="shared" si="28"/>
        <v>19.432611930240004</v>
      </c>
      <c r="AC32" s="94">
        <f t="shared" si="29"/>
        <v>34.007070877920007</v>
      </c>
      <c r="AD32" s="94">
        <f t="shared" si="30"/>
        <v>48.581529825600001</v>
      </c>
      <c r="AK32" s="18"/>
      <c r="AL32">
        <v>11</v>
      </c>
      <c r="AM32" s="34">
        <f t="shared" si="39"/>
        <v>1.2557077625570776E-3</v>
      </c>
      <c r="AN32" s="34">
        <f t="shared" si="31"/>
        <v>0.99874429223744288</v>
      </c>
      <c r="AO32" s="94">
        <f t="shared" si="40"/>
        <v>2.4401681647561648E-2</v>
      </c>
      <c r="AP32" s="94">
        <f t="shared" si="32"/>
        <v>1.2200840823780824E-2</v>
      </c>
      <c r="AQ32" s="94">
        <f t="shared" si="41"/>
        <v>19.42041108941622</v>
      </c>
      <c r="AR32" s="27"/>
      <c r="AS32" s="27"/>
      <c r="AT32" s="94">
        <f t="shared" si="33"/>
        <v>4.2702942883232883E-2</v>
      </c>
      <c r="AU32" s="94">
        <f t="shared" si="34"/>
        <v>2.1351471441616442E-2</v>
      </c>
      <c r="AV32" s="27">
        <f t="shared" si="42"/>
        <v>33.985719406478395</v>
      </c>
      <c r="AW32" s="27"/>
      <c r="AX32" s="27"/>
      <c r="AY32" s="94">
        <f t="shared" si="35"/>
        <v>6.1004204118904108E-2</v>
      </c>
      <c r="AZ32" s="94">
        <f t="shared" si="36"/>
        <v>3.0502102059452054E-2</v>
      </c>
      <c r="BA32" s="27">
        <f t="shared" si="37"/>
        <v>48.551027723540543</v>
      </c>
      <c r="BB32" s="27"/>
      <c r="BC32" s="27"/>
      <c r="BD32" s="18"/>
      <c r="BQ32" s="117"/>
      <c r="BX32" s="251"/>
      <c r="BY32" s="251"/>
      <c r="BZ32" s="251"/>
      <c r="CM32" s="260"/>
      <c r="CN32" s="260"/>
      <c r="CO32" s="260"/>
      <c r="CP32" s="260"/>
      <c r="CQ32" s="260"/>
      <c r="CR32" s="260"/>
      <c r="CS32" s="260"/>
      <c r="DN32" s="260"/>
      <c r="DO32" s="260"/>
      <c r="DP32" s="260"/>
      <c r="DQ32" s="260"/>
      <c r="DZ32" s="38"/>
      <c r="EA32" s="38"/>
      <c r="EB32" s="38"/>
      <c r="EC32" s="38"/>
      <c r="ED32" s="38"/>
      <c r="EE32" s="38"/>
      <c r="EF32" s="38"/>
      <c r="EG32" s="261"/>
      <c r="EH32" s="261"/>
      <c r="EI32" s="261"/>
      <c r="EJ32" s="261"/>
      <c r="EK32" s="261"/>
      <c r="EL32" s="38"/>
      <c r="EM32" s="38"/>
      <c r="EN32" s="38"/>
      <c r="EO32" s="38"/>
      <c r="EP32" s="38"/>
      <c r="EQ32" s="38"/>
      <c r="ER32" s="38"/>
      <c r="ES32" s="38"/>
      <c r="ET32" s="38"/>
      <c r="EU32" s="38"/>
      <c r="EV32" s="38"/>
    </row>
    <row r="33" spans="1:152" x14ac:dyDescent="0.2">
      <c r="A33" s="3" t="s">
        <v>56</v>
      </c>
      <c r="B33">
        <v>1568</v>
      </c>
      <c r="C33">
        <v>87</v>
      </c>
      <c r="D33">
        <v>0.66</v>
      </c>
      <c r="E33">
        <v>0.05</v>
      </c>
      <c r="F33" s="2">
        <f t="shared" si="21"/>
        <v>78.400000000000006</v>
      </c>
      <c r="G33" t="s">
        <v>11</v>
      </c>
      <c r="H33" s="20"/>
      <c r="I33" s="21"/>
      <c r="J33">
        <v>78</v>
      </c>
      <c r="K33" s="94">
        <v>0.28044000000000002</v>
      </c>
      <c r="L33" s="94">
        <v>0.49076999999999998</v>
      </c>
      <c r="M33" s="94">
        <v>0.70109999999999995</v>
      </c>
      <c r="N33">
        <v>0.66</v>
      </c>
      <c r="O33" s="38">
        <v>51.48</v>
      </c>
      <c r="P33" s="27">
        <f t="shared" si="22"/>
        <v>14.437051200000001</v>
      </c>
      <c r="Q33" s="27">
        <f t="shared" si="23"/>
        <v>25.264839600000002</v>
      </c>
      <c r="R33" s="27">
        <f t="shared" si="24"/>
        <v>36.092627999999998</v>
      </c>
      <c r="S33" s="27"/>
      <c r="T33" s="27"/>
      <c r="U33" s="27"/>
      <c r="V33" s="18"/>
      <c r="W33">
        <v>2.3999999999999998E-3</v>
      </c>
      <c r="X33">
        <v>0.99760000000000004</v>
      </c>
      <c r="Y33" s="94">
        <f t="shared" si="25"/>
        <v>3.4648922880000002E-2</v>
      </c>
      <c r="Z33" s="94">
        <f t="shared" si="26"/>
        <v>6.063561504E-2</v>
      </c>
      <c r="AA33" s="94">
        <f t="shared" si="27"/>
        <v>8.6622307199999984E-2</v>
      </c>
      <c r="AB33" s="94">
        <f t="shared" si="28"/>
        <v>14.402402277120002</v>
      </c>
      <c r="AC33" s="94">
        <f t="shared" si="29"/>
        <v>25.204203984960003</v>
      </c>
      <c r="AD33" s="94">
        <f t="shared" si="30"/>
        <v>36.006005692800002</v>
      </c>
      <c r="AK33" s="18"/>
      <c r="AL33">
        <v>112</v>
      </c>
      <c r="AM33" s="34">
        <f t="shared" si="39"/>
        <v>1.2785388127853882E-2</v>
      </c>
      <c r="AN33" s="34">
        <f t="shared" si="31"/>
        <v>0.9872146118721461</v>
      </c>
      <c r="AO33" s="94">
        <f t="shared" si="40"/>
        <v>0.18414030308646578</v>
      </c>
      <c r="AP33" s="94">
        <f t="shared" si="32"/>
        <v>9.2070151543232892E-2</v>
      </c>
      <c r="AQ33" s="94">
        <f t="shared" si="41"/>
        <v>14.310332125576769</v>
      </c>
      <c r="AR33" s="27"/>
      <c r="AS33" s="27"/>
      <c r="AT33" s="94">
        <f t="shared" si="33"/>
        <v>0.32224553040131515</v>
      </c>
      <c r="AU33" s="94">
        <f t="shared" si="34"/>
        <v>0.16112276520065758</v>
      </c>
      <c r="AV33" s="27">
        <f t="shared" si="42"/>
        <v>25.043081219759348</v>
      </c>
      <c r="AW33" s="27"/>
      <c r="AX33" s="27"/>
      <c r="AY33" s="94">
        <f t="shared" si="35"/>
        <v>0.46035075771616446</v>
      </c>
      <c r="AZ33" s="94">
        <f t="shared" si="36"/>
        <v>0.23017537885808223</v>
      </c>
      <c r="BA33" s="27">
        <f t="shared" si="37"/>
        <v>35.775830313941924</v>
      </c>
      <c r="BB33" s="27"/>
      <c r="BC33" s="27"/>
      <c r="BD33" s="18"/>
      <c r="BQ33" s="117"/>
      <c r="CM33" s="260"/>
      <c r="CN33" s="260"/>
      <c r="CO33" s="260"/>
      <c r="CP33" s="260"/>
      <c r="CQ33" s="260"/>
      <c r="CR33" s="260"/>
      <c r="CS33" s="260"/>
      <c r="DN33" s="260"/>
      <c r="DO33" s="260"/>
      <c r="DP33" s="260"/>
      <c r="DQ33" s="260"/>
      <c r="DZ33" s="38"/>
      <c r="EA33" s="38"/>
      <c r="EB33" s="38"/>
      <c r="EC33" s="38"/>
      <c r="ED33" s="38"/>
      <c r="EE33" s="38"/>
      <c r="EF33" s="38"/>
      <c r="EG33" s="261"/>
      <c r="EH33" s="261"/>
      <c r="EI33" s="261"/>
      <c r="EJ33" s="261"/>
      <c r="EK33" s="261"/>
      <c r="EL33" s="38"/>
      <c r="EM33" s="38"/>
      <c r="EN33" s="38"/>
      <c r="EO33" s="38"/>
      <c r="EP33" s="38"/>
      <c r="EQ33" s="38"/>
      <c r="ER33" s="38"/>
      <c r="ES33" s="38"/>
      <c r="ET33" s="38"/>
      <c r="EU33" s="38"/>
      <c r="EV33" s="38"/>
    </row>
    <row r="34" spans="1:152" x14ac:dyDescent="0.2">
      <c r="A34" s="3" t="s">
        <v>53</v>
      </c>
      <c r="B34">
        <v>1540</v>
      </c>
      <c r="C34">
        <v>570</v>
      </c>
      <c r="D34">
        <v>1.23</v>
      </c>
      <c r="E34">
        <v>0.12</v>
      </c>
      <c r="F34" s="2">
        <f t="shared" si="21"/>
        <v>184.79999999999998</v>
      </c>
      <c r="G34" t="s">
        <v>11</v>
      </c>
      <c r="H34" s="20"/>
      <c r="I34" s="21"/>
      <c r="J34">
        <v>185</v>
      </c>
      <c r="K34" s="94">
        <v>0.28044000000000002</v>
      </c>
      <c r="L34" s="94">
        <v>0.49076999999999998</v>
      </c>
      <c r="M34" s="94">
        <v>0.70109999999999995</v>
      </c>
      <c r="N34">
        <v>1.23</v>
      </c>
      <c r="O34" s="38">
        <v>227.55</v>
      </c>
      <c r="P34" s="27">
        <f t="shared" si="22"/>
        <v>63.814122000000005</v>
      </c>
      <c r="Q34" s="27">
        <f t="shared" si="23"/>
        <v>111.6747135</v>
      </c>
      <c r="R34" s="27">
        <f t="shared" si="24"/>
        <v>159.53530499999999</v>
      </c>
      <c r="S34" s="27"/>
      <c r="T34" s="27"/>
      <c r="U34" s="27"/>
      <c r="V34" s="18"/>
      <c r="W34">
        <v>2.3999999999999998E-3</v>
      </c>
      <c r="X34">
        <v>0.99760000000000004</v>
      </c>
      <c r="Y34" s="94">
        <f t="shared" si="25"/>
        <v>0.1531538928</v>
      </c>
      <c r="Z34" s="94">
        <f t="shared" si="26"/>
        <v>0.26801931239999999</v>
      </c>
      <c r="AA34" s="94">
        <f t="shared" si="27"/>
        <v>0.38288473199999995</v>
      </c>
      <c r="AB34" s="94">
        <f t="shared" si="28"/>
        <v>63.660968107200006</v>
      </c>
      <c r="AC34" s="94">
        <f t="shared" si="29"/>
        <v>111.4066941876</v>
      </c>
      <c r="AD34" s="94">
        <f t="shared" si="30"/>
        <v>159.15242026800001</v>
      </c>
      <c r="AK34" s="18"/>
      <c r="AL34">
        <v>24</v>
      </c>
      <c r="AM34" s="34">
        <f t="shared" si="39"/>
        <v>2.7397260273972603E-3</v>
      </c>
      <c r="AN34" s="34">
        <f t="shared" si="31"/>
        <v>0.99726027397260275</v>
      </c>
      <c r="AO34" s="94">
        <f t="shared" si="40"/>
        <v>0.17441361125260277</v>
      </c>
      <c r="AP34" s="94">
        <f t="shared" si="32"/>
        <v>8.7206805626301384E-2</v>
      </c>
      <c r="AQ34" s="94">
        <f t="shared" si="41"/>
        <v>63.573761301573704</v>
      </c>
      <c r="AR34" s="27"/>
      <c r="AS34" s="27"/>
      <c r="AT34" s="94">
        <f t="shared" si="33"/>
        <v>0.30522381969205481</v>
      </c>
      <c r="AU34" s="94">
        <f t="shared" si="34"/>
        <v>0.1526119098460274</v>
      </c>
      <c r="AV34" s="27">
        <f t="shared" si="42"/>
        <v>111.25408227775397</v>
      </c>
      <c r="AW34" s="27"/>
      <c r="AX34" s="27"/>
      <c r="AY34" s="94">
        <f t="shared" si="35"/>
        <v>0.43603402813150688</v>
      </c>
      <c r="AZ34" s="94">
        <f t="shared" si="36"/>
        <v>0.21801701406575344</v>
      </c>
      <c r="BA34" s="27">
        <f t="shared" si="37"/>
        <v>158.93440325393428</v>
      </c>
      <c r="BB34" s="27"/>
      <c r="BC34" s="27"/>
      <c r="BD34" s="18"/>
      <c r="BQ34" s="117"/>
      <c r="CM34" s="260"/>
      <c r="CN34" s="260"/>
      <c r="CO34" s="260"/>
      <c r="CP34" s="260"/>
      <c r="CQ34" s="260"/>
      <c r="CR34" s="260"/>
      <c r="CS34" s="260"/>
      <c r="DN34" s="260"/>
      <c r="DO34" s="260"/>
      <c r="DP34" s="260"/>
      <c r="DQ34" s="260"/>
      <c r="DZ34" s="38"/>
      <c r="EA34" s="38"/>
      <c r="EB34" s="38"/>
      <c r="EC34" s="38"/>
      <c r="ED34" s="38"/>
      <c r="EE34" s="38"/>
      <c r="EF34" s="38"/>
      <c r="EG34" s="261"/>
      <c r="EH34" s="261"/>
      <c r="EI34" s="261"/>
      <c r="EJ34" s="261"/>
      <c r="EK34" s="261"/>
      <c r="EL34" s="38"/>
      <c r="EM34" s="38"/>
      <c r="EN34" s="38"/>
      <c r="EO34" s="38"/>
      <c r="EP34" s="38"/>
      <c r="EQ34" s="38"/>
      <c r="ER34" s="38"/>
      <c r="ES34" s="38"/>
      <c r="ET34" s="38"/>
      <c r="EU34" s="38"/>
      <c r="EV34" s="38"/>
    </row>
    <row r="35" spans="1:152" x14ac:dyDescent="0.2">
      <c r="A35" s="3" t="s">
        <v>57</v>
      </c>
      <c r="B35">
        <v>1927</v>
      </c>
      <c r="C35">
        <v>748</v>
      </c>
      <c r="D35">
        <v>1.35</v>
      </c>
      <c r="E35">
        <v>0.2</v>
      </c>
      <c r="F35" s="2">
        <f t="shared" si="21"/>
        <v>385.40000000000003</v>
      </c>
      <c r="G35" t="s">
        <v>11</v>
      </c>
      <c r="H35" s="20"/>
      <c r="I35" s="21"/>
      <c r="J35">
        <v>385</v>
      </c>
      <c r="K35" s="94">
        <v>0.28044000000000002</v>
      </c>
      <c r="L35" s="94">
        <v>0.49076999999999998</v>
      </c>
      <c r="M35" s="94">
        <v>0.70109999999999995</v>
      </c>
      <c r="N35">
        <v>1.35</v>
      </c>
      <c r="O35" s="38">
        <v>519.75</v>
      </c>
      <c r="P35" s="27">
        <f t="shared" si="22"/>
        <v>145.75869000000003</v>
      </c>
      <c r="Q35" s="27">
        <f t="shared" si="23"/>
        <v>255.0777075</v>
      </c>
      <c r="R35" s="27">
        <f t="shared" si="24"/>
        <v>364.396725</v>
      </c>
      <c r="S35" s="27"/>
      <c r="T35" s="27"/>
      <c r="U35" s="27"/>
      <c r="V35" s="18"/>
      <c r="W35">
        <v>2.3999999999999998E-3</v>
      </c>
      <c r="X35">
        <v>0.99760000000000004</v>
      </c>
      <c r="Y35" s="94">
        <f t="shared" si="25"/>
        <v>0.34982085600000001</v>
      </c>
      <c r="Z35" s="94">
        <f t="shared" si="26"/>
        <v>0.61218649799999991</v>
      </c>
      <c r="AA35" s="94">
        <f t="shared" si="27"/>
        <v>0.87455213999999992</v>
      </c>
      <c r="AB35" s="94">
        <f t="shared" si="28"/>
        <v>145.40886914400002</v>
      </c>
      <c r="AC35" s="94">
        <f t="shared" si="29"/>
        <v>254.465521002</v>
      </c>
      <c r="AD35" s="94">
        <f t="shared" si="30"/>
        <v>363.52217286000001</v>
      </c>
      <c r="AK35" s="18"/>
      <c r="AL35">
        <v>288</v>
      </c>
      <c r="AM35" s="34">
        <f t="shared" si="39"/>
        <v>3.287671232876712E-2</v>
      </c>
      <c r="AN35" s="34">
        <f t="shared" si="31"/>
        <v>0.9671232876712329</v>
      </c>
      <c r="AO35" s="94">
        <f t="shared" si="40"/>
        <v>4.7805655608986308</v>
      </c>
      <c r="AP35" s="94">
        <f t="shared" si="32"/>
        <v>2.3902827804493154</v>
      </c>
      <c r="AQ35" s="94">
        <f t="shared" si="41"/>
        <v>143.01858636355072</v>
      </c>
      <c r="AR35" s="27"/>
      <c r="AS35" s="27"/>
      <c r="AT35" s="94">
        <f t="shared" si="33"/>
        <v>8.3659897315726024</v>
      </c>
      <c r="AU35" s="94">
        <f t="shared" si="34"/>
        <v>4.1829948657863012</v>
      </c>
      <c r="AV35" s="27">
        <f t="shared" si="42"/>
        <v>250.2825261362137</v>
      </c>
      <c r="AW35" s="27"/>
      <c r="AX35" s="27"/>
      <c r="AY35" s="94">
        <f t="shared" si="35"/>
        <v>11.951413902246575</v>
      </c>
      <c r="AZ35" s="94">
        <f t="shared" si="36"/>
        <v>5.9757069511232874</v>
      </c>
      <c r="BA35" s="27">
        <f t="shared" si="37"/>
        <v>357.54646590887677</v>
      </c>
      <c r="BB35" s="27"/>
      <c r="BC35" s="27"/>
      <c r="BD35" s="18"/>
      <c r="BQ35" s="117"/>
      <c r="CM35" s="260"/>
      <c r="CN35" s="260"/>
      <c r="CO35" s="260"/>
      <c r="CP35" s="260"/>
      <c r="CQ35" s="260"/>
      <c r="CR35" s="260"/>
      <c r="CS35" s="260"/>
      <c r="DZ35" s="38"/>
      <c r="EA35" s="38"/>
      <c r="EB35" s="38"/>
      <c r="EC35" s="38"/>
      <c r="ED35" s="38"/>
      <c r="EE35" s="38"/>
      <c r="EF35" s="38"/>
      <c r="EG35" s="38"/>
      <c r="EH35" s="38"/>
      <c r="EI35" s="38"/>
      <c r="EJ35" s="38"/>
      <c r="EK35" s="38"/>
      <c r="EL35" s="38"/>
      <c r="EM35" s="38"/>
      <c r="EN35" s="38"/>
      <c r="EO35" s="38"/>
      <c r="EP35" s="38"/>
      <c r="EQ35" s="38"/>
      <c r="ER35" s="38"/>
      <c r="ES35" s="38"/>
      <c r="ET35" s="38"/>
      <c r="EU35" s="38"/>
      <c r="EV35" s="38"/>
    </row>
    <row r="36" spans="1:152" x14ac:dyDescent="0.2">
      <c r="A36" s="3" t="s">
        <v>73</v>
      </c>
      <c r="B36">
        <v>1764</v>
      </c>
      <c r="C36">
        <v>1055</v>
      </c>
      <c r="D36">
        <v>0.98</v>
      </c>
      <c r="E36">
        <v>0.5</v>
      </c>
      <c r="F36" s="2">
        <f t="shared" ref="F36" si="43">B36*E36</f>
        <v>882</v>
      </c>
      <c r="G36" t="s">
        <v>11</v>
      </c>
      <c r="H36" s="20"/>
      <c r="I36" s="21"/>
      <c r="J36">
        <v>882</v>
      </c>
      <c r="K36" s="94">
        <v>0.28044000000000002</v>
      </c>
      <c r="L36" s="94">
        <v>0.49076999999999998</v>
      </c>
      <c r="M36" s="94">
        <v>0.70109999999999995</v>
      </c>
      <c r="N36">
        <v>0.98</v>
      </c>
      <c r="O36" s="38">
        <v>864.36</v>
      </c>
      <c r="P36" s="27">
        <f t="shared" si="22"/>
        <v>242.4011184</v>
      </c>
      <c r="Q36" s="27">
        <f t="shared" si="23"/>
        <v>424.20195719999998</v>
      </c>
      <c r="R36" s="27">
        <f t="shared" si="24"/>
        <v>606.00279599999999</v>
      </c>
      <c r="S36" s="27"/>
      <c r="T36" s="27"/>
      <c r="U36" s="27"/>
      <c r="V36" s="18"/>
      <c r="W36">
        <v>2.3999999999999998E-3</v>
      </c>
      <c r="X36">
        <v>0.99760000000000004</v>
      </c>
      <c r="Y36" s="94">
        <f t="shared" si="25"/>
        <v>0.58176268415999999</v>
      </c>
      <c r="Z36" s="94">
        <f t="shared" si="26"/>
        <v>1.01808469728</v>
      </c>
      <c r="AA36" s="94">
        <f t="shared" si="27"/>
        <v>1.4544067103999998</v>
      </c>
      <c r="AB36" s="94">
        <f t="shared" si="28"/>
        <v>241.81935571584</v>
      </c>
      <c r="AC36" s="94">
        <f t="shared" si="29"/>
        <v>423.18387250272002</v>
      </c>
      <c r="AD36" s="94">
        <f t="shared" si="30"/>
        <v>604.54838928959998</v>
      </c>
      <c r="AK36" s="18"/>
      <c r="AL36">
        <v>43</v>
      </c>
      <c r="AM36" s="34">
        <f t="shared" si="39"/>
        <v>4.9086757990867581E-3</v>
      </c>
      <c r="AN36" s="34">
        <f t="shared" ref="AN36:AN50" si="44">1- AM36</f>
        <v>0.99509132420091329</v>
      </c>
      <c r="AO36" s="94">
        <f t="shared" si="40"/>
        <v>1.187012819153096</v>
      </c>
      <c r="AP36" s="94">
        <f t="shared" si="32"/>
        <v>0.59350640957654799</v>
      </c>
      <c r="AQ36" s="94">
        <f t="shared" ref="AQ36:AQ50" si="45">$AB36*$AN36 + $AP36</f>
        <v>241.22584930626346</v>
      </c>
      <c r="AR36" s="27"/>
      <c r="AS36" s="27"/>
      <c r="AT36" s="94">
        <f t="shared" ref="AT36:AT50" si="46">$AM36*$AC36</f>
        <v>2.0772724335179178</v>
      </c>
      <c r="AU36" s="94">
        <f t="shared" si="34"/>
        <v>1.0386362167589589</v>
      </c>
      <c r="AV36" s="27">
        <f t="shared" si="42"/>
        <v>422.14523628596106</v>
      </c>
      <c r="AW36" s="27"/>
      <c r="AX36" s="27"/>
      <c r="AY36" s="94">
        <f t="shared" si="35"/>
        <v>2.9675320478827398</v>
      </c>
      <c r="AZ36" s="94">
        <f t="shared" si="36"/>
        <v>1.4837660239413699</v>
      </c>
      <c r="BA36" s="27">
        <f t="shared" si="37"/>
        <v>603.06462326565861</v>
      </c>
      <c r="BB36" s="27"/>
      <c r="BC36" s="27"/>
      <c r="BD36" s="18"/>
      <c r="BQ36" s="117"/>
      <c r="DZ36" s="38"/>
      <c r="EA36" s="38"/>
      <c r="EB36" s="38"/>
      <c r="EC36" s="38"/>
      <c r="ED36" s="38"/>
      <c r="EE36" s="38"/>
      <c r="EF36" s="38"/>
      <c r="EG36" s="38"/>
      <c r="EH36" s="38"/>
      <c r="EI36" s="38"/>
      <c r="EJ36" s="38"/>
      <c r="EK36" s="38"/>
      <c r="EL36" s="38"/>
      <c r="EM36" s="38"/>
      <c r="EN36" s="38"/>
      <c r="EO36" s="38"/>
      <c r="EP36" s="38"/>
      <c r="EQ36" s="38"/>
      <c r="ER36" s="38"/>
      <c r="ES36" s="38"/>
      <c r="ET36" s="38"/>
      <c r="EU36" s="38"/>
      <c r="EV36" s="38"/>
    </row>
    <row r="37" spans="1:152" x14ac:dyDescent="0.2">
      <c r="A37" s="3" t="s">
        <v>59</v>
      </c>
      <c r="B37">
        <v>1648</v>
      </c>
      <c r="C37">
        <v>2043</v>
      </c>
      <c r="D37">
        <v>0.85</v>
      </c>
      <c r="F37" s="2">
        <f>B37*D37</f>
        <v>1400.8</v>
      </c>
      <c r="G37" t="s">
        <v>126</v>
      </c>
      <c r="H37" s="20"/>
      <c r="I37" s="21"/>
      <c r="J37">
        <v>1401</v>
      </c>
      <c r="K37" s="94">
        <v>0.28044000000000002</v>
      </c>
      <c r="L37" s="94">
        <v>0.49076999999999998</v>
      </c>
      <c r="M37" s="94">
        <v>0.70109999999999995</v>
      </c>
      <c r="N37">
        <v>0.85</v>
      </c>
      <c r="O37" s="38">
        <v>1190.8499999999999</v>
      </c>
      <c r="P37" s="27">
        <f t="shared" si="22"/>
        <v>333.961974</v>
      </c>
      <c r="Q37" s="27">
        <f t="shared" si="23"/>
        <v>584.43345449999993</v>
      </c>
      <c r="R37" s="27">
        <f t="shared" si="24"/>
        <v>834.90493499999991</v>
      </c>
      <c r="S37" s="27"/>
      <c r="T37" s="27"/>
      <c r="U37" s="27"/>
      <c r="V37" s="18"/>
      <c r="W37">
        <v>2.3999999999999998E-3</v>
      </c>
      <c r="X37">
        <v>0.99760000000000004</v>
      </c>
      <c r="Y37" s="94">
        <f t="shared" si="25"/>
        <v>0.80150873759999997</v>
      </c>
      <c r="Z37" s="94">
        <f t="shared" si="26"/>
        <v>1.4026402907999997</v>
      </c>
      <c r="AA37" s="94">
        <f t="shared" si="27"/>
        <v>2.0037718439999996</v>
      </c>
      <c r="AB37" s="94">
        <f t="shared" si="28"/>
        <v>333.16046526240001</v>
      </c>
      <c r="AC37" s="94">
        <f t="shared" si="29"/>
        <v>583.0308142092</v>
      </c>
      <c r="AD37" s="94">
        <f t="shared" si="30"/>
        <v>832.90116315599994</v>
      </c>
      <c r="AK37" s="18"/>
      <c r="AL37">
        <v>207</v>
      </c>
      <c r="AM37" s="34">
        <f t="shared" si="39"/>
        <v>2.363013698630137E-2</v>
      </c>
      <c r="AN37" s="34">
        <f t="shared" si="44"/>
        <v>0.97636986301369866</v>
      </c>
      <c r="AO37" s="94">
        <f t="shared" si="40"/>
        <v>7.8726274325704111</v>
      </c>
      <c r="AP37" s="94">
        <f t="shared" si="32"/>
        <v>3.9363137162852055</v>
      </c>
      <c r="AQ37" s="94">
        <f t="shared" si="45"/>
        <v>329.2241515461148</v>
      </c>
      <c r="AR37" s="27"/>
      <c r="AS37" s="27"/>
      <c r="AT37" s="94">
        <f t="shared" si="46"/>
        <v>13.777098006998219</v>
      </c>
      <c r="AU37" s="94">
        <f t="shared" si="34"/>
        <v>6.8885490034991097</v>
      </c>
      <c r="AV37" s="27">
        <f t="shared" si="42"/>
        <v>576.14226520570082</v>
      </c>
      <c r="AW37" s="27"/>
      <c r="AX37" s="27"/>
      <c r="AY37" s="94">
        <f t="shared" si="35"/>
        <v>19.681568581426028</v>
      </c>
      <c r="AZ37" s="94">
        <f t="shared" si="36"/>
        <v>9.8407842907130139</v>
      </c>
      <c r="BA37" s="27">
        <f t="shared" si="37"/>
        <v>823.06037886528702</v>
      </c>
      <c r="BB37" s="27"/>
      <c r="BC37" s="27"/>
      <c r="BD37" s="18"/>
      <c r="BQ37" s="117"/>
      <c r="DZ37" s="38"/>
      <c r="EA37" s="38"/>
      <c r="EB37" s="38"/>
      <c r="EC37" s="38"/>
      <c r="ED37" s="38"/>
      <c r="EE37" s="38"/>
      <c r="EF37" s="38"/>
      <c r="EG37" s="38"/>
      <c r="EH37" s="38"/>
      <c r="EI37" s="38"/>
      <c r="EJ37" s="38"/>
      <c r="EK37" s="38"/>
      <c r="EL37" s="38"/>
      <c r="EM37" s="38"/>
      <c r="EN37" s="38"/>
      <c r="EO37" s="38"/>
      <c r="EP37" s="38"/>
      <c r="EQ37" s="38"/>
      <c r="ER37" s="38"/>
      <c r="ES37" s="38"/>
      <c r="ET37" s="38"/>
      <c r="EU37" s="38"/>
      <c r="EV37" s="38"/>
    </row>
    <row r="38" spans="1:152" x14ac:dyDescent="0.2">
      <c r="A38" s="3" t="s">
        <v>60</v>
      </c>
      <c r="B38">
        <v>1503</v>
      </c>
      <c r="C38">
        <v>3031</v>
      </c>
      <c r="D38">
        <v>0.21</v>
      </c>
      <c r="F38" s="2">
        <f>B38*D38</f>
        <v>315.63</v>
      </c>
      <c r="G38" t="s">
        <v>16</v>
      </c>
      <c r="H38" s="20"/>
      <c r="I38" s="21"/>
      <c r="J38">
        <v>316</v>
      </c>
      <c r="K38" s="94">
        <v>0.28044000000000002</v>
      </c>
      <c r="L38" s="94">
        <v>0.49076999999999998</v>
      </c>
      <c r="M38" s="94">
        <v>0.70109999999999995</v>
      </c>
      <c r="N38">
        <v>0.21</v>
      </c>
      <c r="O38" s="38">
        <v>66.36</v>
      </c>
      <c r="P38" s="27">
        <f t="shared" si="22"/>
        <v>18.609998400000002</v>
      </c>
      <c r="Q38" s="27">
        <f t="shared" si="23"/>
        <v>32.567497199999998</v>
      </c>
      <c r="R38" s="27">
        <f t="shared" si="24"/>
        <v>46.524995999999994</v>
      </c>
      <c r="S38" s="27"/>
      <c r="T38" s="27"/>
      <c r="U38" s="27"/>
      <c r="V38" s="18"/>
      <c r="W38">
        <v>2.3999999999999998E-3</v>
      </c>
      <c r="X38">
        <v>0.99760000000000004</v>
      </c>
      <c r="Y38" s="94">
        <f t="shared" si="25"/>
        <v>4.4663996160000004E-2</v>
      </c>
      <c r="Z38" s="94">
        <f t="shared" si="26"/>
        <v>7.8161993279999994E-2</v>
      </c>
      <c r="AA38" s="94">
        <f t="shared" si="27"/>
        <v>0.11165999039999998</v>
      </c>
      <c r="AB38" s="94">
        <f t="shared" si="28"/>
        <v>18.565334403840001</v>
      </c>
      <c r="AC38" s="94">
        <f t="shared" si="29"/>
        <v>32.48933520672</v>
      </c>
      <c r="AD38" s="94">
        <f t="shared" si="30"/>
        <v>46.413336009599995</v>
      </c>
      <c r="AK38" s="18"/>
      <c r="AL38">
        <v>315</v>
      </c>
      <c r="AM38" s="34">
        <f t="shared" si="39"/>
        <v>3.5958904109589039E-2</v>
      </c>
      <c r="AN38" s="34">
        <f t="shared" si="44"/>
        <v>0.96404109589041098</v>
      </c>
      <c r="AO38" s="94">
        <f t="shared" si="40"/>
        <v>0.66758907959013702</v>
      </c>
      <c r="AP38" s="94">
        <f t="shared" si="32"/>
        <v>0.33379453979506851</v>
      </c>
      <c r="AQ38" s="94">
        <f t="shared" si="45"/>
        <v>18.231539864044933</v>
      </c>
      <c r="AR38" s="27"/>
      <c r="AS38" s="27"/>
      <c r="AT38" s="94">
        <f t="shared" si="46"/>
        <v>1.1682808892827397</v>
      </c>
      <c r="AU38" s="94">
        <f t="shared" si="34"/>
        <v>0.58414044464136983</v>
      </c>
      <c r="AV38" s="27">
        <f t="shared" si="42"/>
        <v>31.905194762078633</v>
      </c>
      <c r="AW38" s="27"/>
      <c r="AX38" s="27"/>
      <c r="AY38" s="94">
        <f t="shared" si="35"/>
        <v>1.6689726989753422</v>
      </c>
      <c r="AZ38" s="94">
        <f t="shared" si="36"/>
        <v>0.83448634948767109</v>
      </c>
      <c r="BA38" s="27">
        <f t="shared" si="37"/>
        <v>45.578849660112326</v>
      </c>
      <c r="BB38" s="27"/>
      <c r="BC38" s="27"/>
      <c r="BD38" s="18"/>
      <c r="BQ38" s="117"/>
      <c r="DZ38" s="38"/>
      <c r="EA38" s="38"/>
      <c r="EB38" s="38"/>
      <c r="EC38" s="38"/>
      <c r="ED38" s="38"/>
      <c r="EE38" s="38"/>
      <c r="EF38" s="38"/>
      <c r="EG38" s="38"/>
      <c r="EH38" s="38"/>
      <c r="EI38" s="38"/>
      <c r="EJ38" s="38"/>
      <c r="EK38" s="38"/>
      <c r="EL38" s="38"/>
      <c r="EM38" s="38"/>
      <c r="EN38" s="38"/>
      <c r="EO38" s="38"/>
      <c r="EP38" s="38"/>
      <c r="EQ38" s="38"/>
      <c r="ER38" s="38"/>
      <c r="ES38" s="38"/>
      <c r="ET38" s="38"/>
      <c r="EU38" s="38"/>
      <c r="EV38" s="38"/>
    </row>
    <row r="39" spans="1:152" x14ac:dyDescent="0.2">
      <c r="A39" s="3" t="s">
        <v>61</v>
      </c>
      <c r="B39">
        <v>1913</v>
      </c>
      <c r="C39">
        <v>1266</v>
      </c>
      <c r="D39">
        <v>3.65</v>
      </c>
      <c r="E39">
        <v>1.59</v>
      </c>
      <c r="F39" s="2">
        <f t="shared" ref="F39:F50" si="47">B39*E39</f>
        <v>3041.67</v>
      </c>
      <c r="G39" t="s">
        <v>11</v>
      </c>
      <c r="H39" s="20"/>
      <c r="I39" s="21"/>
      <c r="J39">
        <v>3042</v>
      </c>
      <c r="K39" s="94">
        <v>0.28044000000000002</v>
      </c>
      <c r="L39" s="94">
        <v>0.49076999999999998</v>
      </c>
      <c r="M39" s="94">
        <v>0.70109999999999995</v>
      </c>
      <c r="N39">
        <v>1.59</v>
      </c>
      <c r="O39" s="38">
        <v>4836.78</v>
      </c>
      <c r="P39" s="27">
        <f t="shared" si="22"/>
        <v>1356.4265832000003</v>
      </c>
      <c r="Q39" s="27">
        <f t="shared" si="23"/>
        <v>2373.7465205999997</v>
      </c>
      <c r="R39" s="27">
        <f t="shared" si="24"/>
        <v>3391.0664580000002</v>
      </c>
      <c r="S39" s="27"/>
      <c r="T39" s="27"/>
      <c r="U39" s="27"/>
      <c r="V39" s="18"/>
      <c r="W39">
        <v>2.3999999999999998E-3</v>
      </c>
      <c r="X39">
        <v>0.99760000000000004</v>
      </c>
      <c r="Y39" s="94">
        <f t="shared" si="25"/>
        <v>3.2554237996800004</v>
      </c>
      <c r="Z39" s="94">
        <f t="shared" si="26"/>
        <v>5.6969916494399993</v>
      </c>
      <c r="AA39" s="94">
        <f t="shared" si="27"/>
        <v>8.1385594991999994</v>
      </c>
      <c r="AB39" s="94">
        <f t="shared" si="28"/>
        <v>1353.1711594003204</v>
      </c>
      <c r="AC39" s="94">
        <f t="shared" si="29"/>
        <v>2368.0495289505598</v>
      </c>
      <c r="AD39" s="94">
        <f t="shared" si="30"/>
        <v>3382.9278985008004</v>
      </c>
      <c r="AK39" s="18"/>
      <c r="AL39">
        <v>114</v>
      </c>
      <c r="AM39" s="34">
        <f t="shared" si="39"/>
        <v>1.3013698630136987E-2</v>
      </c>
      <c r="AN39" s="34">
        <f t="shared" si="44"/>
        <v>0.98698630136986298</v>
      </c>
      <c r="AO39" s="94">
        <f t="shared" si="40"/>
        <v>17.609761663428827</v>
      </c>
      <c r="AP39" s="94">
        <f t="shared" si="32"/>
        <v>8.8048808317144136</v>
      </c>
      <c r="AQ39" s="94">
        <f t="shared" si="45"/>
        <v>1344.366278568606</v>
      </c>
      <c r="AR39" s="27"/>
      <c r="AS39" s="27"/>
      <c r="AT39" s="94">
        <f t="shared" si="46"/>
        <v>30.817082911000437</v>
      </c>
      <c r="AU39" s="94">
        <f t="shared" si="34"/>
        <v>15.408541455500218</v>
      </c>
      <c r="AV39" s="27">
        <f t="shared" si="42"/>
        <v>2352.6409874950596</v>
      </c>
      <c r="AW39" s="27"/>
      <c r="AX39" s="27"/>
      <c r="AY39" s="94">
        <f t="shared" si="35"/>
        <v>44.024404158572061</v>
      </c>
      <c r="AZ39" s="94">
        <f t="shared" si="36"/>
        <v>22.01220207928603</v>
      </c>
      <c r="BA39" s="27">
        <f t="shared" si="37"/>
        <v>3360.9156964215144</v>
      </c>
      <c r="BB39" s="27"/>
      <c r="BC39" s="27"/>
      <c r="BD39" s="18"/>
      <c r="BQ39" s="117"/>
      <c r="DZ39" s="38"/>
      <c r="EA39" s="38"/>
      <c r="EB39" s="38"/>
      <c r="EC39" s="38"/>
      <c r="ED39" s="38"/>
      <c r="EE39" s="38"/>
      <c r="EF39" s="38"/>
      <c r="EG39" s="38"/>
      <c r="EH39" s="38"/>
      <c r="EI39" s="38"/>
      <c r="EJ39" s="38"/>
      <c r="EK39" s="38"/>
      <c r="EL39" s="38"/>
      <c r="EM39" s="38"/>
      <c r="EN39" s="38"/>
      <c r="EO39" s="38"/>
      <c r="EP39" s="38"/>
      <c r="EQ39" s="38"/>
      <c r="ER39" s="38"/>
      <c r="ES39" s="38"/>
      <c r="ET39" s="38"/>
      <c r="EU39" s="38"/>
      <c r="EV39" s="38"/>
    </row>
    <row r="40" spans="1:152" x14ac:dyDescent="0.2">
      <c r="A40" s="3" t="s">
        <v>62</v>
      </c>
      <c r="B40">
        <v>1890</v>
      </c>
      <c r="C40">
        <v>1398</v>
      </c>
      <c r="D40">
        <v>0.62</v>
      </c>
      <c r="E40">
        <v>0.55000000000000004</v>
      </c>
      <c r="F40" s="2">
        <f t="shared" si="47"/>
        <v>1039.5</v>
      </c>
      <c r="G40" t="s">
        <v>11</v>
      </c>
      <c r="H40" s="20"/>
      <c r="I40" s="21"/>
      <c r="J40">
        <v>1040</v>
      </c>
      <c r="K40" s="94">
        <v>0.28044000000000002</v>
      </c>
      <c r="L40" s="94">
        <v>0.49076999999999998</v>
      </c>
      <c r="M40" s="94">
        <v>0.70109999999999995</v>
      </c>
      <c r="N40">
        <v>0.55000000000000004</v>
      </c>
      <c r="O40" s="38">
        <v>572</v>
      </c>
      <c r="P40" s="27">
        <f t="shared" si="22"/>
        <v>160.41168000000002</v>
      </c>
      <c r="Q40" s="27">
        <f t="shared" si="23"/>
        <v>280.72044</v>
      </c>
      <c r="R40" s="27">
        <f t="shared" si="24"/>
        <v>401.02919999999995</v>
      </c>
      <c r="S40" s="27"/>
      <c r="T40" s="27"/>
      <c r="U40" s="27"/>
      <c r="V40" s="18"/>
      <c r="W40">
        <v>2.3999999999999998E-3</v>
      </c>
      <c r="X40">
        <v>0.99760000000000004</v>
      </c>
      <c r="Y40" s="94">
        <f t="shared" si="25"/>
        <v>0.38498803200000004</v>
      </c>
      <c r="Z40" s="94">
        <f t="shared" si="26"/>
        <v>0.67372905599999988</v>
      </c>
      <c r="AA40" s="94">
        <f t="shared" si="27"/>
        <v>0.96247007999999978</v>
      </c>
      <c r="AB40" s="94">
        <f t="shared" si="28"/>
        <v>160.02669196800002</v>
      </c>
      <c r="AC40" s="94">
        <f t="shared" si="29"/>
        <v>280.04671094399998</v>
      </c>
      <c r="AD40" s="94">
        <f t="shared" si="30"/>
        <v>400.06672991999994</v>
      </c>
      <c r="AK40" s="18"/>
      <c r="AL40">
        <v>147</v>
      </c>
      <c r="AM40" s="34">
        <f t="shared" si="39"/>
        <v>1.678082191780822E-2</v>
      </c>
      <c r="AN40" s="34">
        <f t="shared" si="44"/>
        <v>0.98321917808219172</v>
      </c>
      <c r="AO40" s="94">
        <f t="shared" si="40"/>
        <v>2.6853794200109595</v>
      </c>
      <c r="AP40" s="94">
        <f t="shared" si="32"/>
        <v>1.3426897100054798</v>
      </c>
      <c r="AQ40" s="94">
        <f t="shared" si="45"/>
        <v>158.68400225799454</v>
      </c>
      <c r="AR40" s="27"/>
      <c r="AS40" s="27"/>
      <c r="AT40" s="94">
        <f t="shared" si="46"/>
        <v>4.6994139850191781</v>
      </c>
      <c r="AU40" s="94">
        <f t="shared" si="34"/>
        <v>2.349706992509589</v>
      </c>
      <c r="AV40" s="27">
        <f t="shared" si="42"/>
        <v>277.69700395149039</v>
      </c>
      <c r="AW40" s="27"/>
      <c r="AX40" s="27"/>
      <c r="AY40" s="94">
        <f t="shared" si="35"/>
        <v>6.7134485500273966</v>
      </c>
      <c r="AZ40" s="94">
        <f t="shared" si="36"/>
        <v>3.3567242750136983</v>
      </c>
      <c r="BA40" s="27">
        <f t="shared" si="37"/>
        <v>396.71000564498621</v>
      </c>
      <c r="BB40" s="27"/>
      <c r="BC40" s="27"/>
      <c r="BD40" s="18"/>
      <c r="BQ40" s="117"/>
      <c r="DZ40" s="38"/>
      <c r="EA40" s="38"/>
      <c r="EB40" s="38"/>
      <c r="EC40" s="38"/>
      <c r="ED40" s="38"/>
      <c r="EE40" s="38"/>
      <c r="EF40" s="38"/>
      <c r="EG40" s="38"/>
      <c r="EH40" s="38"/>
      <c r="EI40" s="38"/>
      <c r="EJ40" s="38"/>
      <c r="EK40" s="38"/>
      <c r="EL40" s="38"/>
      <c r="EM40" s="38"/>
      <c r="EN40" s="38"/>
      <c r="EO40" s="38"/>
      <c r="EP40" s="38"/>
      <c r="EQ40" s="38"/>
      <c r="ER40" s="38"/>
      <c r="ES40" s="38"/>
      <c r="ET40" s="38"/>
      <c r="EU40" s="38"/>
      <c r="EV40" s="38"/>
    </row>
    <row r="41" spans="1:152" x14ac:dyDescent="0.2">
      <c r="A41" s="3" t="s">
        <v>63</v>
      </c>
      <c r="B41">
        <v>1776</v>
      </c>
      <c r="C41">
        <v>1568</v>
      </c>
      <c r="D41">
        <v>2.66</v>
      </c>
      <c r="E41">
        <v>1.78</v>
      </c>
      <c r="F41" s="2">
        <f t="shared" si="47"/>
        <v>3161.28</v>
      </c>
      <c r="G41" t="s">
        <v>11</v>
      </c>
      <c r="H41" s="20"/>
      <c r="I41" s="21"/>
      <c r="J41">
        <v>3161</v>
      </c>
      <c r="K41" s="94">
        <v>0.28044000000000002</v>
      </c>
      <c r="L41" s="94">
        <v>0.49076999999999998</v>
      </c>
      <c r="M41" s="94">
        <v>0.70109999999999995</v>
      </c>
      <c r="N41">
        <v>1.78</v>
      </c>
      <c r="O41" s="38">
        <v>5626.58</v>
      </c>
      <c r="P41" s="27">
        <f t="shared" si="22"/>
        <v>1577.9180952000002</v>
      </c>
      <c r="Q41" s="27">
        <f t="shared" si="23"/>
        <v>2761.3566665999997</v>
      </c>
      <c r="R41" s="27">
        <f t="shared" si="24"/>
        <v>3944.7952379999997</v>
      </c>
      <c r="S41" s="27"/>
      <c r="T41" s="27"/>
      <c r="U41" s="27"/>
      <c r="V41" s="18"/>
      <c r="W41">
        <v>2.3999999999999998E-3</v>
      </c>
      <c r="X41">
        <v>0.99760000000000004</v>
      </c>
      <c r="Y41" s="94">
        <f t="shared" si="25"/>
        <v>3.7870034284799998</v>
      </c>
      <c r="Z41" s="94">
        <f t="shared" si="26"/>
        <v>6.6272559998399991</v>
      </c>
      <c r="AA41" s="94">
        <f t="shared" si="27"/>
        <v>9.467508571199998</v>
      </c>
      <c r="AB41" s="94">
        <f t="shared" si="28"/>
        <v>1574.1310917715202</v>
      </c>
      <c r="AC41" s="94">
        <f t="shared" si="29"/>
        <v>2754.72941060016</v>
      </c>
      <c r="AD41" s="94">
        <f t="shared" si="30"/>
        <v>3935.3277294288</v>
      </c>
      <c r="AK41" s="18"/>
      <c r="AL41">
        <v>8</v>
      </c>
      <c r="AM41" s="34">
        <f t="shared" si="39"/>
        <v>9.1324200913242006E-4</v>
      </c>
      <c r="AN41" s="34">
        <f t="shared" si="44"/>
        <v>0.99908675799086755</v>
      </c>
      <c r="AO41" s="94">
        <f t="shared" si="40"/>
        <v>1.4375626408872331</v>
      </c>
      <c r="AP41" s="94">
        <f t="shared" si="32"/>
        <v>0.71878132044361653</v>
      </c>
      <c r="AQ41" s="94">
        <f t="shared" si="45"/>
        <v>1573.4123104510766</v>
      </c>
      <c r="AR41" s="27"/>
      <c r="AS41" s="27"/>
      <c r="AT41" s="94">
        <f t="shared" si="46"/>
        <v>2.5157346215526575</v>
      </c>
      <c r="AU41" s="94">
        <f t="shared" si="34"/>
        <v>1.2578673107763287</v>
      </c>
      <c r="AV41" s="27">
        <f t="shared" si="42"/>
        <v>2753.4715432893836</v>
      </c>
      <c r="AW41" s="27"/>
      <c r="AX41" s="27"/>
      <c r="AY41" s="94">
        <f t="shared" si="35"/>
        <v>3.5939066022180821</v>
      </c>
      <c r="AZ41" s="94">
        <f t="shared" si="36"/>
        <v>1.7969533011090411</v>
      </c>
      <c r="BA41" s="27">
        <f t="shared" si="37"/>
        <v>3933.5307761276908</v>
      </c>
      <c r="BB41" s="27"/>
      <c r="BC41" s="27"/>
      <c r="BD41" s="18"/>
      <c r="BQ41" s="117"/>
      <c r="DZ41" s="38"/>
      <c r="EA41" s="38"/>
      <c r="EB41" s="38"/>
      <c r="EC41" s="38"/>
      <c r="ED41" s="38"/>
      <c r="EE41" s="38"/>
      <c r="EF41" s="38"/>
      <c r="EG41" s="38"/>
      <c r="EH41" s="38"/>
      <c r="EI41" s="38"/>
      <c r="EJ41" s="38"/>
      <c r="EK41" s="38"/>
      <c r="EL41" s="38"/>
      <c r="EM41" s="38"/>
      <c r="EN41" s="38"/>
      <c r="EO41" s="38"/>
      <c r="EP41" s="38"/>
      <c r="EQ41" s="38"/>
      <c r="ER41" s="38"/>
      <c r="ES41" s="38"/>
      <c r="ET41" s="38"/>
      <c r="EU41" s="38"/>
      <c r="EV41" s="38"/>
    </row>
    <row r="42" spans="1:152" x14ac:dyDescent="0.2">
      <c r="A42" s="3" t="s">
        <v>64</v>
      </c>
      <c r="B42">
        <v>1755</v>
      </c>
      <c r="C42">
        <v>4018</v>
      </c>
      <c r="D42">
        <v>1.21</v>
      </c>
      <c r="E42">
        <v>1</v>
      </c>
      <c r="F42" s="2">
        <f t="shared" si="47"/>
        <v>1755</v>
      </c>
      <c r="G42" t="s">
        <v>11</v>
      </c>
      <c r="H42" s="20"/>
      <c r="I42" s="21"/>
      <c r="J42">
        <v>1755</v>
      </c>
      <c r="K42" s="94">
        <v>0.28044000000000002</v>
      </c>
      <c r="L42" s="94">
        <v>0.49076999999999998</v>
      </c>
      <c r="M42" s="94">
        <v>0.70109999999999995</v>
      </c>
      <c r="N42">
        <v>1</v>
      </c>
      <c r="O42" s="38">
        <v>1755</v>
      </c>
      <c r="P42" s="27">
        <f t="shared" si="22"/>
        <v>492.17220000000003</v>
      </c>
      <c r="Q42" s="27">
        <f t="shared" si="23"/>
        <v>861.30134999999996</v>
      </c>
      <c r="R42" s="27">
        <f t="shared" si="24"/>
        <v>1230.4304999999999</v>
      </c>
      <c r="S42" s="27"/>
      <c r="T42" s="27"/>
      <c r="U42" s="27"/>
      <c r="V42" s="18"/>
      <c r="W42">
        <v>2.3999999999999998E-3</v>
      </c>
      <c r="X42">
        <v>0.99760000000000004</v>
      </c>
      <c r="Y42" s="94">
        <f t="shared" si="25"/>
        <v>1.1812132799999999</v>
      </c>
      <c r="Z42" s="94">
        <f t="shared" si="26"/>
        <v>2.0671232399999999</v>
      </c>
      <c r="AA42" s="94">
        <f t="shared" si="27"/>
        <v>2.9530331999999997</v>
      </c>
      <c r="AB42" s="94">
        <f t="shared" si="28"/>
        <v>490.99098672000008</v>
      </c>
      <c r="AC42" s="94">
        <f t="shared" si="29"/>
        <v>859.23422675999996</v>
      </c>
      <c r="AD42" s="94">
        <f t="shared" si="30"/>
        <v>1227.4774668</v>
      </c>
      <c r="AK42" s="18"/>
      <c r="AL42">
        <v>158</v>
      </c>
      <c r="AM42" s="34">
        <f t="shared" si="39"/>
        <v>1.8036529680365298E-2</v>
      </c>
      <c r="AN42" s="34">
        <f t="shared" si="44"/>
        <v>0.98196347031963471</v>
      </c>
      <c r="AO42" s="94">
        <f t="shared" si="40"/>
        <v>8.8557735047671251</v>
      </c>
      <c r="AP42" s="94">
        <f t="shared" si="32"/>
        <v>4.4278867523835626</v>
      </c>
      <c r="AQ42" s="94">
        <f t="shared" si="45"/>
        <v>486.56309996761655</v>
      </c>
      <c r="AR42" s="27"/>
      <c r="AS42" s="27"/>
      <c r="AT42" s="94">
        <f t="shared" si="46"/>
        <v>15.497603633342466</v>
      </c>
      <c r="AU42" s="94">
        <f t="shared" si="34"/>
        <v>7.7488018166712331</v>
      </c>
      <c r="AV42" s="27">
        <f t="shared" si="42"/>
        <v>851.48542494332878</v>
      </c>
      <c r="AW42" s="27"/>
      <c r="AX42" s="27"/>
      <c r="AY42" s="94">
        <f t="shared" si="35"/>
        <v>22.139433761917811</v>
      </c>
      <c r="AZ42" s="94">
        <f t="shared" si="36"/>
        <v>11.069716880958905</v>
      </c>
      <c r="BA42" s="27">
        <f t="shared" si="37"/>
        <v>1216.407749919041</v>
      </c>
      <c r="BB42" s="27"/>
      <c r="BC42" s="27"/>
      <c r="BD42" s="18"/>
      <c r="BQ42" s="117"/>
      <c r="DZ42" s="38"/>
      <c r="EA42" s="38"/>
      <c r="EB42" s="38"/>
      <c r="EC42" s="38"/>
      <c r="ED42" s="38"/>
      <c r="EE42" s="38"/>
      <c r="EF42" s="38"/>
      <c r="EG42" s="38"/>
      <c r="EH42" s="38"/>
      <c r="EI42" s="38"/>
      <c r="EJ42" s="38"/>
      <c r="EK42" s="38"/>
      <c r="EL42" s="38"/>
      <c r="EM42" s="38"/>
      <c r="EN42" s="38"/>
      <c r="EO42" s="38"/>
      <c r="EP42" s="38"/>
      <c r="EQ42" s="38"/>
      <c r="ER42" s="38"/>
      <c r="ES42" s="38"/>
      <c r="ET42" s="38"/>
      <c r="EU42" s="38"/>
      <c r="EV42" s="38"/>
    </row>
    <row r="43" spans="1:152" x14ac:dyDescent="0.2">
      <c r="A43" s="3" t="s">
        <v>65</v>
      </c>
      <c r="B43">
        <v>1894</v>
      </c>
      <c r="C43">
        <v>4029</v>
      </c>
      <c r="D43">
        <v>2.13</v>
      </c>
      <c r="E43">
        <v>1.1599999999999999</v>
      </c>
      <c r="F43" s="2">
        <f t="shared" si="47"/>
        <v>2197.04</v>
      </c>
      <c r="G43" t="s">
        <v>11</v>
      </c>
      <c r="H43" s="20"/>
      <c r="I43" s="21"/>
      <c r="J43">
        <v>2197</v>
      </c>
      <c r="K43" s="94">
        <v>0.28044000000000002</v>
      </c>
      <c r="L43" s="94">
        <v>0.49076999999999998</v>
      </c>
      <c r="M43" s="94">
        <v>0.70109999999999995</v>
      </c>
      <c r="N43">
        <v>1.1599999999999999</v>
      </c>
      <c r="O43" s="38">
        <v>2548.52</v>
      </c>
      <c r="P43" s="27">
        <f t="shared" si="22"/>
        <v>714.70694880000008</v>
      </c>
      <c r="Q43" s="27">
        <f t="shared" si="23"/>
        <v>1250.7371603999998</v>
      </c>
      <c r="R43" s="27">
        <f t="shared" si="24"/>
        <v>1786.7673719999998</v>
      </c>
      <c r="S43" s="27"/>
      <c r="T43" s="27"/>
      <c r="U43" s="27"/>
      <c r="V43" s="18"/>
      <c r="W43">
        <v>2.3999999999999998E-3</v>
      </c>
      <c r="X43">
        <v>0.99760000000000004</v>
      </c>
      <c r="Y43" s="94">
        <f t="shared" si="25"/>
        <v>1.71529667712</v>
      </c>
      <c r="Z43" s="94">
        <f t="shared" si="26"/>
        <v>3.0017691849599992</v>
      </c>
      <c r="AA43" s="94">
        <f t="shared" si="27"/>
        <v>4.2882416927999989</v>
      </c>
      <c r="AB43" s="94">
        <f t="shared" si="28"/>
        <v>712.99165212288005</v>
      </c>
      <c r="AC43" s="94">
        <f t="shared" si="29"/>
        <v>1247.7353912150397</v>
      </c>
      <c r="AD43" s="94">
        <f t="shared" si="30"/>
        <v>1782.4791303072</v>
      </c>
      <c r="AK43" s="18"/>
      <c r="AL43">
        <v>584</v>
      </c>
      <c r="AM43" s="34">
        <f t="shared" si="39"/>
        <v>6.6666666666666666E-2</v>
      </c>
      <c r="AN43" s="34">
        <f t="shared" si="44"/>
        <v>0.93333333333333335</v>
      </c>
      <c r="AO43" s="94">
        <f t="shared" si="40"/>
        <v>47.532776808192004</v>
      </c>
      <c r="AP43" s="94">
        <f t="shared" si="32"/>
        <v>23.766388404096002</v>
      </c>
      <c r="AQ43" s="94">
        <f t="shared" si="45"/>
        <v>689.22526371878405</v>
      </c>
      <c r="AR43" s="27"/>
      <c r="AS43" s="27"/>
      <c r="AT43" s="94">
        <f t="shared" si="46"/>
        <v>83.182359414335977</v>
      </c>
      <c r="AU43" s="94">
        <f t="shared" si="34"/>
        <v>41.591179707167989</v>
      </c>
      <c r="AV43" s="27">
        <f t="shared" si="42"/>
        <v>1206.1442115078719</v>
      </c>
      <c r="AW43" s="27"/>
      <c r="AX43" s="27"/>
      <c r="AY43" s="94">
        <f t="shared" si="35"/>
        <v>118.83194202048</v>
      </c>
      <c r="AZ43" s="94">
        <f t="shared" si="36"/>
        <v>59.41597101024</v>
      </c>
      <c r="BA43" s="27">
        <f t="shared" si="37"/>
        <v>1723.0631592969598</v>
      </c>
      <c r="BB43" s="27"/>
      <c r="BC43" s="27"/>
      <c r="BD43" s="18"/>
      <c r="BQ43" s="117"/>
      <c r="DZ43" s="38"/>
      <c r="EA43" s="38"/>
      <c r="EB43" s="38"/>
      <c r="EC43" s="38"/>
      <c r="ED43" s="38"/>
      <c r="EE43" s="38"/>
      <c r="EF43" s="38"/>
      <c r="EG43" s="38"/>
      <c r="EH43" s="38"/>
      <c r="EI43" s="38"/>
      <c r="EJ43" s="38"/>
      <c r="EK43" s="38"/>
      <c r="EL43" s="38"/>
      <c r="EM43" s="38"/>
      <c r="EN43" s="38"/>
      <c r="EO43" s="38"/>
      <c r="EP43" s="38"/>
      <c r="EQ43" s="38"/>
      <c r="ER43" s="38"/>
      <c r="ES43" s="38"/>
      <c r="ET43" s="38"/>
      <c r="EU43" s="38"/>
      <c r="EV43" s="38"/>
    </row>
    <row r="44" spans="1:152" x14ac:dyDescent="0.2">
      <c r="A44" s="3" t="s">
        <v>66</v>
      </c>
      <c r="B44">
        <v>1656</v>
      </c>
      <c r="C44">
        <v>957</v>
      </c>
      <c r="D44">
        <v>2.15</v>
      </c>
      <c r="E44">
        <v>1</v>
      </c>
      <c r="F44" s="2">
        <f t="shared" si="47"/>
        <v>1656</v>
      </c>
      <c r="G44" t="s">
        <v>11</v>
      </c>
      <c r="H44" s="20"/>
      <c r="I44" s="21"/>
      <c r="J44">
        <v>1656</v>
      </c>
      <c r="K44" s="94">
        <v>0.28044000000000002</v>
      </c>
      <c r="L44" s="94">
        <v>0.49076999999999998</v>
      </c>
      <c r="M44" s="94">
        <v>0.70109999999999995</v>
      </c>
      <c r="N44">
        <v>1</v>
      </c>
      <c r="O44" s="38">
        <v>1656</v>
      </c>
      <c r="P44" s="27">
        <f t="shared" si="22"/>
        <v>464.40864000000005</v>
      </c>
      <c r="Q44" s="27">
        <f t="shared" si="23"/>
        <v>812.71511999999996</v>
      </c>
      <c r="R44" s="27">
        <f t="shared" si="24"/>
        <v>1161.0215999999998</v>
      </c>
      <c r="S44" s="27"/>
      <c r="T44" s="27"/>
      <c r="U44" s="27"/>
      <c r="V44" s="18"/>
      <c r="W44">
        <v>2.3999999999999998E-3</v>
      </c>
      <c r="X44">
        <v>0.99760000000000004</v>
      </c>
      <c r="Y44" s="94">
        <f t="shared" si="25"/>
        <v>1.114580736</v>
      </c>
      <c r="Z44" s="94">
        <f t="shared" si="26"/>
        <v>1.9505162879999998</v>
      </c>
      <c r="AA44" s="94">
        <f t="shared" si="27"/>
        <v>2.7864518399999993</v>
      </c>
      <c r="AB44" s="94">
        <f t="shared" si="28"/>
        <v>463.29405926400005</v>
      </c>
      <c r="AC44" s="94">
        <f t="shared" si="29"/>
        <v>810.76460371199994</v>
      </c>
      <c r="AD44" s="94">
        <f t="shared" si="30"/>
        <v>1158.2351481599999</v>
      </c>
      <c r="AK44" s="18"/>
      <c r="AL44">
        <v>0</v>
      </c>
      <c r="AM44" s="34">
        <f t="shared" si="39"/>
        <v>0</v>
      </c>
      <c r="AN44" s="34">
        <f t="shared" si="44"/>
        <v>1</v>
      </c>
      <c r="AO44" s="94">
        <f t="shared" si="40"/>
        <v>0</v>
      </c>
      <c r="AP44" s="94">
        <f t="shared" si="32"/>
        <v>0</v>
      </c>
      <c r="AQ44" s="94">
        <f t="shared" si="45"/>
        <v>463.29405926400005</v>
      </c>
      <c r="AR44" s="27"/>
      <c r="AS44" s="27"/>
      <c r="AT44" s="94">
        <f t="shared" si="46"/>
        <v>0</v>
      </c>
      <c r="AU44" s="94">
        <f t="shared" si="34"/>
        <v>0</v>
      </c>
      <c r="AV44" s="27">
        <f t="shared" si="42"/>
        <v>810.76460371199994</v>
      </c>
      <c r="AW44" s="27"/>
      <c r="AX44" s="27"/>
      <c r="AY44" s="94">
        <f t="shared" si="35"/>
        <v>0</v>
      </c>
      <c r="AZ44" s="94">
        <f t="shared" si="36"/>
        <v>0</v>
      </c>
      <c r="BA44" s="27">
        <f t="shared" si="37"/>
        <v>1158.2351481599999</v>
      </c>
      <c r="BB44" s="27"/>
      <c r="BC44" s="27"/>
      <c r="BD44" s="18"/>
      <c r="BQ44" s="117"/>
      <c r="DZ44" s="38"/>
      <c r="EA44" s="38"/>
      <c r="EB44" s="38"/>
      <c r="EC44" s="38"/>
      <c r="ED44" s="38"/>
      <c r="EE44" s="38"/>
      <c r="EF44" s="38"/>
      <c r="EG44" s="38"/>
      <c r="EH44" s="38"/>
      <c r="EI44" s="38"/>
      <c r="EJ44" s="38"/>
      <c r="EK44" s="38"/>
      <c r="EL44" s="38"/>
      <c r="EM44" s="38"/>
      <c r="EN44" s="38"/>
      <c r="EO44" s="38"/>
      <c r="EP44" s="38"/>
      <c r="EQ44" s="38"/>
      <c r="ER44" s="38"/>
      <c r="ES44" s="38"/>
      <c r="ET44" s="38"/>
      <c r="EU44" s="38"/>
      <c r="EV44" s="38"/>
    </row>
    <row r="45" spans="1:152" x14ac:dyDescent="0.2">
      <c r="A45" s="3" t="s">
        <v>67</v>
      </c>
      <c r="B45">
        <v>1299</v>
      </c>
      <c r="C45">
        <v>6774</v>
      </c>
      <c r="D45">
        <v>0.09</v>
      </c>
      <c r="E45">
        <v>0.13</v>
      </c>
      <c r="F45" s="2">
        <f t="shared" si="47"/>
        <v>168.87</v>
      </c>
      <c r="G45" t="s">
        <v>11</v>
      </c>
      <c r="H45" s="20"/>
      <c r="I45" s="21"/>
      <c r="J45">
        <v>169</v>
      </c>
      <c r="K45" s="94">
        <v>0.28044000000000002</v>
      </c>
      <c r="L45" s="94">
        <v>0.49076999999999998</v>
      </c>
      <c r="M45" s="94">
        <v>0.70109999999999995</v>
      </c>
      <c r="N45">
        <v>0.13</v>
      </c>
      <c r="O45" s="38">
        <v>21.97</v>
      </c>
      <c r="P45" s="27">
        <f t="shared" si="22"/>
        <v>6.1612668000000008</v>
      </c>
      <c r="Q45" s="27">
        <f t="shared" si="23"/>
        <v>10.7822169</v>
      </c>
      <c r="R45" s="27">
        <f t="shared" si="24"/>
        <v>15.403166999999998</v>
      </c>
      <c r="S45" s="27"/>
      <c r="T45" s="27"/>
      <c r="U45" s="27"/>
      <c r="V45" s="18"/>
      <c r="W45">
        <v>2.3999999999999998E-3</v>
      </c>
      <c r="X45">
        <v>0.99760000000000004</v>
      </c>
      <c r="Y45" s="94">
        <f t="shared" si="25"/>
        <v>1.478704032E-2</v>
      </c>
      <c r="Z45" s="94">
        <f t="shared" si="26"/>
        <v>2.5877320559999997E-2</v>
      </c>
      <c r="AA45" s="94">
        <f t="shared" si="27"/>
        <v>3.6967600799999993E-2</v>
      </c>
      <c r="AB45" s="94">
        <f t="shared" si="28"/>
        <v>6.1464797596800009</v>
      </c>
      <c r="AC45" s="94">
        <f t="shared" si="29"/>
        <v>10.756339579440001</v>
      </c>
      <c r="AD45" s="94">
        <f t="shared" si="30"/>
        <v>15.366199399199999</v>
      </c>
      <c r="AK45" s="18"/>
      <c r="AL45">
        <v>320</v>
      </c>
      <c r="AM45" s="34">
        <f t="shared" si="39"/>
        <v>3.6529680365296802E-2</v>
      </c>
      <c r="AN45" s="34">
        <f t="shared" si="44"/>
        <v>0.9634703196347032</v>
      </c>
      <c r="AO45" s="94">
        <f t="shared" si="40"/>
        <v>0.22452894099287674</v>
      </c>
      <c r="AP45" s="94">
        <f t="shared" si="32"/>
        <v>0.11226447049643837</v>
      </c>
      <c r="AQ45" s="94">
        <f t="shared" si="45"/>
        <v>6.0342152891835621</v>
      </c>
      <c r="AR45" s="27"/>
      <c r="AS45" s="27"/>
      <c r="AT45" s="94">
        <f t="shared" si="46"/>
        <v>0.39292564673753422</v>
      </c>
      <c r="AU45" s="94">
        <f t="shared" si="34"/>
        <v>0.19646282336876711</v>
      </c>
      <c r="AV45" s="27">
        <f t="shared" si="42"/>
        <v>10.559876756071233</v>
      </c>
      <c r="AW45" s="27"/>
      <c r="AX45" s="27"/>
      <c r="AY45" s="94">
        <f t="shared" si="35"/>
        <v>0.56132235248219176</v>
      </c>
      <c r="AZ45" s="94">
        <f t="shared" si="36"/>
        <v>0.28066117624109588</v>
      </c>
      <c r="BA45" s="27">
        <f t="shared" si="37"/>
        <v>15.085538222958904</v>
      </c>
      <c r="BB45" s="27"/>
      <c r="BC45" s="27"/>
      <c r="BD45" s="18"/>
      <c r="BQ45" s="117"/>
      <c r="DZ45" s="38"/>
      <c r="EA45" s="38"/>
      <c r="EB45" s="38"/>
      <c r="EC45" s="38"/>
      <c r="ED45" s="38"/>
      <c r="EE45" s="38"/>
      <c r="EF45" s="38"/>
      <c r="EG45" s="38"/>
      <c r="EH45" s="38"/>
      <c r="EI45" s="38"/>
      <c r="EJ45" s="38"/>
      <c r="EK45" s="38"/>
      <c r="EL45" s="38"/>
      <c r="EM45" s="38"/>
      <c r="EN45" s="38"/>
      <c r="EO45" s="38"/>
      <c r="EP45" s="38"/>
      <c r="EQ45" s="38"/>
      <c r="ER45" s="38"/>
      <c r="ES45" s="38"/>
      <c r="ET45" s="38"/>
      <c r="EU45" s="38"/>
      <c r="EV45" s="38"/>
    </row>
    <row r="46" spans="1:152" x14ac:dyDescent="0.2">
      <c r="A46" s="3" t="s">
        <v>68</v>
      </c>
      <c r="B46">
        <v>1300</v>
      </c>
      <c r="C46">
        <v>6063</v>
      </c>
      <c r="D46">
        <v>0.17</v>
      </c>
      <c r="E46">
        <v>0.18</v>
      </c>
      <c r="F46" s="2">
        <f t="shared" si="47"/>
        <v>234</v>
      </c>
      <c r="G46" t="s">
        <v>11</v>
      </c>
      <c r="H46" s="20"/>
      <c r="I46" s="21"/>
      <c r="J46">
        <v>234</v>
      </c>
      <c r="K46" s="94">
        <v>0.28044000000000002</v>
      </c>
      <c r="L46" s="94">
        <v>0.49076999999999998</v>
      </c>
      <c r="M46" s="94">
        <v>0.70109999999999995</v>
      </c>
      <c r="N46">
        <v>0.18</v>
      </c>
      <c r="O46" s="38">
        <v>42.12</v>
      </c>
      <c r="P46" s="27">
        <f t="shared" si="22"/>
        <v>11.812132800000001</v>
      </c>
      <c r="Q46" s="27">
        <f t="shared" si="23"/>
        <v>20.671232399999997</v>
      </c>
      <c r="R46" s="27">
        <f t="shared" si="24"/>
        <v>29.530331999999998</v>
      </c>
      <c r="S46" s="27"/>
      <c r="T46" s="27"/>
      <c r="U46" s="27"/>
      <c r="V46" s="18"/>
      <c r="W46">
        <v>2.3999999999999998E-3</v>
      </c>
      <c r="X46">
        <v>0.99760000000000004</v>
      </c>
      <c r="Y46" s="94">
        <f t="shared" si="25"/>
        <v>2.834911872E-2</v>
      </c>
      <c r="Z46" s="94">
        <f t="shared" si="26"/>
        <v>4.9610957759999991E-2</v>
      </c>
      <c r="AA46" s="94">
        <f t="shared" si="27"/>
        <v>7.0872796799999985E-2</v>
      </c>
      <c r="AB46" s="94">
        <f t="shared" si="28"/>
        <v>11.783783681280001</v>
      </c>
      <c r="AC46" s="94">
        <f t="shared" si="29"/>
        <v>20.621621442239999</v>
      </c>
      <c r="AD46" s="94">
        <f t="shared" si="30"/>
        <v>29.459459203199998</v>
      </c>
      <c r="AK46" s="18"/>
      <c r="AL46">
        <v>2</v>
      </c>
      <c r="AM46" s="34">
        <f t="shared" si="39"/>
        <v>2.2831050228310502E-4</v>
      </c>
      <c r="AN46" s="34">
        <f t="shared" si="44"/>
        <v>0.99977168949771689</v>
      </c>
      <c r="AO46" s="94">
        <f t="shared" si="40"/>
        <v>2.6903615710684933E-3</v>
      </c>
      <c r="AP46" s="94">
        <f t="shared" si="32"/>
        <v>1.3451807855342467E-3</v>
      </c>
      <c r="AQ46" s="94">
        <f t="shared" si="45"/>
        <v>11.782438500494466</v>
      </c>
      <c r="AR46" s="27"/>
      <c r="AS46" s="27"/>
      <c r="AT46" s="94">
        <f t="shared" si="46"/>
        <v>4.7081327493698625E-3</v>
      </c>
      <c r="AU46" s="94">
        <f t="shared" si="34"/>
        <v>2.3540663746849312E-3</v>
      </c>
      <c r="AV46" s="27">
        <f t="shared" si="42"/>
        <v>20.619267375865313</v>
      </c>
      <c r="AW46" s="27"/>
      <c r="AX46" s="27"/>
      <c r="AY46" s="94">
        <f t="shared" si="35"/>
        <v>6.7259039276712325E-3</v>
      </c>
      <c r="AZ46" s="94">
        <f t="shared" si="36"/>
        <v>3.3629519638356162E-3</v>
      </c>
      <c r="BA46" s="27">
        <f t="shared" si="37"/>
        <v>29.456096251236165</v>
      </c>
      <c r="BB46" s="27"/>
      <c r="BC46" s="27"/>
      <c r="BD46" s="18"/>
      <c r="BQ46" s="117"/>
      <c r="DZ46" s="38"/>
      <c r="EA46" s="38"/>
      <c r="EB46" s="38"/>
      <c r="EC46" s="38"/>
      <c r="ED46" s="38"/>
      <c r="EE46" s="38"/>
      <c r="EF46" s="38"/>
      <c r="EG46" s="38"/>
      <c r="EH46" s="38"/>
      <c r="EI46" s="38"/>
      <c r="EJ46" s="38"/>
      <c r="EK46" s="38"/>
      <c r="EL46" s="38"/>
      <c r="EM46" s="38"/>
      <c r="EN46" s="38"/>
      <c r="EO46" s="38"/>
      <c r="EP46" s="38"/>
      <c r="EQ46" s="38"/>
      <c r="ER46" s="38"/>
      <c r="ES46" s="38"/>
      <c r="ET46" s="38"/>
      <c r="EU46" s="38"/>
      <c r="EV46" s="38"/>
    </row>
    <row r="47" spans="1:152" x14ac:dyDescent="0.2">
      <c r="A47" s="3" t="s">
        <v>69</v>
      </c>
      <c r="B47">
        <v>1811</v>
      </c>
      <c r="C47">
        <v>1137</v>
      </c>
      <c r="D47">
        <v>0.16</v>
      </c>
      <c r="E47">
        <v>0.4</v>
      </c>
      <c r="F47" s="2">
        <f t="shared" si="47"/>
        <v>724.40000000000009</v>
      </c>
      <c r="G47" t="s">
        <v>11</v>
      </c>
      <c r="H47" s="20"/>
      <c r="I47" s="21"/>
      <c r="J47">
        <v>724</v>
      </c>
      <c r="K47" s="94">
        <v>0.28044000000000002</v>
      </c>
      <c r="L47" s="94">
        <v>0.49076999999999998</v>
      </c>
      <c r="M47" s="94">
        <v>0.70109999999999995</v>
      </c>
      <c r="N47">
        <v>0.4</v>
      </c>
      <c r="O47" s="38">
        <v>289.60000000000002</v>
      </c>
      <c r="P47" s="27">
        <f t="shared" si="22"/>
        <v>81.215424000000013</v>
      </c>
      <c r="Q47" s="27">
        <f t="shared" si="23"/>
        <v>142.126992</v>
      </c>
      <c r="R47" s="27">
        <f t="shared" si="24"/>
        <v>203.03855999999999</v>
      </c>
      <c r="S47" s="27"/>
      <c r="T47" s="27"/>
      <c r="U47" s="27"/>
      <c r="V47" s="18"/>
      <c r="W47">
        <v>2.3999999999999998E-3</v>
      </c>
      <c r="X47">
        <v>0.99760000000000004</v>
      </c>
      <c r="Y47" s="94">
        <f t="shared" si="25"/>
        <v>0.19491701760000002</v>
      </c>
      <c r="Z47" s="94">
        <f t="shared" si="26"/>
        <v>0.34110478079999995</v>
      </c>
      <c r="AA47" s="94">
        <f t="shared" si="27"/>
        <v>0.48729254399999994</v>
      </c>
      <c r="AB47" s="94">
        <f t="shared" si="28"/>
        <v>81.020506982400022</v>
      </c>
      <c r="AC47" s="94">
        <f t="shared" si="29"/>
        <v>141.78588721920002</v>
      </c>
      <c r="AD47" s="94">
        <f t="shared" si="30"/>
        <v>202.55126745600001</v>
      </c>
      <c r="AK47" s="18"/>
      <c r="AL47">
        <v>0</v>
      </c>
      <c r="AM47" s="34">
        <f t="shared" si="39"/>
        <v>0</v>
      </c>
      <c r="AN47" s="34">
        <f t="shared" si="44"/>
        <v>1</v>
      </c>
      <c r="AO47" s="94">
        <f t="shared" si="40"/>
        <v>0</v>
      </c>
      <c r="AP47" s="94">
        <f t="shared" si="32"/>
        <v>0</v>
      </c>
      <c r="AQ47" s="94">
        <f t="shared" si="45"/>
        <v>81.020506982400022</v>
      </c>
      <c r="AR47" s="27"/>
      <c r="AS47" s="27"/>
      <c r="AT47" s="94">
        <f t="shared" si="46"/>
        <v>0</v>
      </c>
      <c r="AU47" s="94">
        <f t="shared" si="34"/>
        <v>0</v>
      </c>
      <c r="AV47" s="27">
        <f t="shared" si="42"/>
        <v>141.78588721920002</v>
      </c>
      <c r="AW47" s="27"/>
      <c r="AX47" s="27"/>
      <c r="AY47" s="94">
        <f t="shared" si="35"/>
        <v>0</v>
      </c>
      <c r="AZ47" s="94">
        <f t="shared" si="36"/>
        <v>0</v>
      </c>
      <c r="BA47" s="27">
        <f t="shared" si="37"/>
        <v>202.55126745600001</v>
      </c>
      <c r="BB47" s="27"/>
      <c r="BC47" s="27"/>
      <c r="BD47" s="18"/>
      <c r="BQ47" s="117"/>
      <c r="DZ47" s="38"/>
      <c r="EA47" s="38"/>
      <c r="EB47" s="38"/>
      <c r="EC47" s="38"/>
      <c r="ED47" s="38"/>
      <c r="EE47" s="38"/>
      <c r="EF47" s="38"/>
      <c r="EG47" s="38"/>
      <c r="EH47" s="38"/>
      <c r="EI47" s="38"/>
      <c r="EJ47" s="38"/>
      <c r="EK47" s="38"/>
      <c r="EL47" s="38"/>
      <c r="EM47" s="38"/>
      <c r="EN47" s="38"/>
      <c r="EO47" s="38"/>
      <c r="EP47" s="38"/>
      <c r="EQ47" s="38"/>
      <c r="ER47" s="38"/>
      <c r="ES47" s="38"/>
      <c r="ET47" s="38"/>
      <c r="EU47" s="38"/>
      <c r="EV47" s="38"/>
    </row>
    <row r="48" spans="1:152" x14ac:dyDescent="0.2">
      <c r="A48" s="3" t="s">
        <v>70</v>
      </c>
      <c r="B48">
        <v>1685</v>
      </c>
      <c r="C48">
        <v>1450</v>
      </c>
      <c r="D48">
        <v>0.06</v>
      </c>
      <c r="E48">
        <v>0.1</v>
      </c>
      <c r="F48" s="2">
        <f t="shared" si="47"/>
        <v>168.5</v>
      </c>
      <c r="G48" t="s">
        <v>11</v>
      </c>
      <c r="H48" s="20"/>
      <c r="I48" s="21"/>
      <c r="J48">
        <v>169</v>
      </c>
      <c r="K48" s="94">
        <v>0.28044000000000002</v>
      </c>
      <c r="L48" s="94">
        <v>0.49076999999999998</v>
      </c>
      <c r="M48" s="94">
        <v>0.70109999999999995</v>
      </c>
      <c r="N48">
        <v>0.1</v>
      </c>
      <c r="O48" s="38">
        <v>16.899999999999999</v>
      </c>
      <c r="P48" s="27">
        <f t="shared" si="22"/>
        <v>4.7394360000000004</v>
      </c>
      <c r="Q48" s="27">
        <f t="shared" si="23"/>
        <v>8.2940129999999996</v>
      </c>
      <c r="R48" s="27">
        <f t="shared" si="24"/>
        <v>11.84859</v>
      </c>
      <c r="S48" s="27"/>
      <c r="T48" s="27"/>
      <c r="U48" s="27"/>
      <c r="V48" s="18"/>
      <c r="W48">
        <v>2.3999999999999998E-3</v>
      </c>
      <c r="X48">
        <v>0.99760000000000004</v>
      </c>
      <c r="Y48" s="94">
        <f t="shared" si="25"/>
        <v>1.1374646400000001E-2</v>
      </c>
      <c r="Z48" s="94">
        <f t="shared" si="26"/>
        <v>1.9905631199999996E-2</v>
      </c>
      <c r="AA48" s="94">
        <f t="shared" si="27"/>
        <v>2.8436615999999998E-2</v>
      </c>
      <c r="AB48" s="94">
        <f t="shared" si="28"/>
        <v>4.7280613536000002</v>
      </c>
      <c r="AC48" s="94">
        <f t="shared" si="29"/>
        <v>8.2741073687999993</v>
      </c>
      <c r="AD48" s="94">
        <f t="shared" si="30"/>
        <v>11.820153384000001</v>
      </c>
      <c r="AK48" s="18"/>
      <c r="AL48">
        <v>0</v>
      </c>
      <c r="AM48" s="34">
        <f t="shared" si="39"/>
        <v>0</v>
      </c>
      <c r="AN48" s="34">
        <f t="shared" si="44"/>
        <v>1</v>
      </c>
      <c r="AO48" s="94">
        <f t="shared" si="40"/>
        <v>0</v>
      </c>
      <c r="AP48" s="94">
        <f t="shared" si="32"/>
        <v>0</v>
      </c>
      <c r="AQ48" s="94">
        <f t="shared" si="45"/>
        <v>4.7280613536000002</v>
      </c>
      <c r="AR48" s="27"/>
      <c r="AS48" s="27"/>
      <c r="AT48" s="94">
        <f t="shared" si="46"/>
        <v>0</v>
      </c>
      <c r="AU48" s="94">
        <f t="shared" si="34"/>
        <v>0</v>
      </c>
      <c r="AV48" s="27">
        <f t="shared" si="42"/>
        <v>8.2741073687999993</v>
      </c>
      <c r="AW48" s="27"/>
      <c r="AX48" s="27"/>
      <c r="AY48" s="94">
        <f t="shared" si="35"/>
        <v>0</v>
      </c>
      <c r="AZ48" s="94">
        <f t="shared" si="36"/>
        <v>0</v>
      </c>
      <c r="BA48" s="27">
        <f t="shared" si="37"/>
        <v>11.820153384000001</v>
      </c>
      <c r="BB48" s="27"/>
      <c r="BC48" s="27"/>
      <c r="BD48" s="18"/>
      <c r="BQ48" s="117"/>
      <c r="DZ48" s="38"/>
      <c r="EA48" s="38"/>
      <c r="EB48" s="38"/>
      <c r="EC48" s="38"/>
      <c r="ED48" s="38"/>
      <c r="EE48" s="38"/>
      <c r="EF48" s="38"/>
      <c r="EG48" s="38"/>
      <c r="EH48" s="38"/>
      <c r="EI48" s="38"/>
      <c r="EJ48" s="38"/>
      <c r="EK48" s="38"/>
      <c r="EL48" s="38"/>
      <c r="EM48" s="38"/>
      <c r="EN48" s="38"/>
      <c r="EO48" s="38"/>
      <c r="EP48" s="38"/>
      <c r="EQ48" s="38"/>
      <c r="ER48" s="38"/>
      <c r="ES48" s="38"/>
      <c r="ET48" s="38"/>
      <c r="EU48" s="38"/>
      <c r="EV48" s="38"/>
    </row>
    <row r="49" spans="1:152" x14ac:dyDescent="0.2">
      <c r="A49" s="3" t="s">
        <v>71</v>
      </c>
      <c r="B49">
        <v>1693</v>
      </c>
      <c r="C49">
        <v>1035</v>
      </c>
      <c r="D49">
        <v>1.42</v>
      </c>
      <c r="E49">
        <v>1.1499999999999999</v>
      </c>
      <c r="F49" s="2">
        <f t="shared" si="47"/>
        <v>1946.9499999999998</v>
      </c>
      <c r="G49" t="s">
        <v>11</v>
      </c>
      <c r="H49" s="20"/>
      <c r="I49" s="21"/>
      <c r="J49">
        <v>1947</v>
      </c>
      <c r="K49" s="94">
        <v>0.28044000000000002</v>
      </c>
      <c r="L49" s="94">
        <v>0.49076999999999998</v>
      </c>
      <c r="M49" s="94">
        <v>0.70109999999999995</v>
      </c>
      <c r="N49">
        <v>1.1499999999999999</v>
      </c>
      <c r="O49" s="38">
        <v>2239.0500000000002</v>
      </c>
      <c r="P49" s="27">
        <f t="shared" si="22"/>
        <v>627.91918199999998</v>
      </c>
      <c r="Q49" s="27">
        <f t="shared" si="23"/>
        <v>1098.8585684999998</v>
      </c>
      <c r="R49" s="27">
        <f t="shared" si="24"/>
        <v>1569.7979549999998</v>
      </c>
      <c r="S49" s="27"/>
      <c r="T49" s="27"/>
      <c r="U49" s="27"/>
      <c r="V49" s="18"/>
      <c r="W49">
        <v>2.3999999999999998E-3</v>
      </c>
      <c r="X49">
        <v>0.99760000000000004</v>
      </c>
      <c r="Y49" s="94">
        <f t="shared" si="25"/>
        <v>1.5070060367999998</v>
      </c>
      <c r="Z49" s="94">
        <f t="shared" si="26"/>
        <v>2.6372605643999991</v>
      </c>
      <c r="AA49" s="94">
        <f t="shared" si="27"/>
        <v>3.7675150919999991</v>
      </c>
      <c r="AB49" s="94">
        <f t="shared" si="28"/>
        <v>626.41217596319996</v>
      </c>
      <c r="AC49" s="94">
        <f t="shared" si="29"/>
        <v>1096.2213079356</v>
      </c>
      <c r="AD49" s="94">
        <f t="shared" si="30"/>
        <v>1566.0304399079998</v>
      </c>
      <c r="AK49" s="18"/>
      <c r="AL49">
        <v>155</v>
      </c>
      <c r="AM49" s="34">
        <f t="shared" si="39"/>
        <v>1.7694063926940638E-2</v>
      </c>
      <c r="AN49" s="34">
        <f t="shared" si="44"/>
        <v>0.98230593607305938</v>
      </c>
      <c r="AO49" s="94">
        <f t="shared" si="40"/>
        <v>11.083777086106847</v>
      </c>
      <c r="AP49" s="94">
        <f t="shared" si="32"/>
        <v>5.5418885430534237</v>
      </c>
      <c r="AQ49" s="94">
        <f t="shared" si="45"/>
        <v>620.87028742014661</v>
      </c>
      <c r="AR49" s="27"/>
      <c r="AS49" s="27"/>
      <c r="AT49" s="94">
        <f t="shared" si="46"/>
        <v>19.396609900686986</v>
      </c>
      <c r="AU49" s="94">
        <f t="shared" si="34"/>
        <v>9.698304950343493</v>
      </c>
      <c r="AV49" s="27">
        <f t="shared" si="42"/>
        <v>1086.5230029852564</v>
      </c>
      <c r="AW49" s="27"/>
      <c r="AX49" s="27"/>
      <c r="AY49" s="94">
        <f t="shared" si="35"/>
        <v>27.709442715267119</v>
      </c>
      <c r="AZ49" s="94">
        <f t="shared" si="36"/>
        <v>13.85472135763356</v>
      </c>
      <c r="BA49" s="27">
        <f t="shared" si="37"/>
        <v>1552.1757185503661</v>
      </c>
      <c r="BB49" s="27"/>
      <c r="BC49" s="27"/>
      <c r="BD49" s="18"/>
      <c r="BQ49" s="117"/>
      <c r="DZ49" s="38"/>
      <c r="EA49" s="38"/>
      <c r="EB49" s="38"/>
      <c r="EC49" s="38"/>
      <c r="ED49" s="38"/>
      <c r="EE49" s="38"/>
      <c r="EF49" s="38"/>
      <c r="EG49" s="38"/>
      <c r="EH49" s="38"/>
      <c r="EI49" s="38"/>
      <c r="EJ49" s="38"/>
      <c r="EK49" s="38"/>
      <c r="EL49" s="38"/>
      <c r="EM49" s="38"/>
      <c r="EN49" s="38"/>
      <c r="EO49" s="38"/>
      <c r="EP49" s="38"/>
      <c r="EQ49" s="38"/>
      <c r="ER49" s="38"/>
      <c r="ES49" s="38"/>
      <c r="ET49" s="38"/>
      <c r="EU49" s="38"/>
      <c r="EV49" s="38"/>
    </row>
    <row r="50" spans="1:152" x14ac:dyDescent="0.2">
      <c r="A50" s="4" t="s">
        <v>72</v>
      </c>
      <c r="B50" s="5">
        <v>1595</v>
      </c>
      <c r="C50" s="5">
        <v>4718</v>
      </c>
      <c r="D50" s="5">
        <v>0.52</v>
      </c>
      <c r="E50" s="247">
        <v>0.6</v>
      </c>
      <c r="F50" s="13">
        <f t="shared" si="47"/>
        <v>957</v>
      </c>
      <c r="G50" s="108" t="s">
        <v>11</v>
      </c>
      <c r="H50" s="29"/>
      <c r="I50" s="73"/>
      <c r="J50" s="5">
        <v>957</v>
      </c>
      <c r="K50" s="256">
        <v>0.28044000000000002</v>
      </c>
      <c r="L50" s="256">
        <v>0.49076999999999998</v>
      </c>
      <c r="M50" s="256">
        <v>0.70109999999999995</v>
      </c>
      <c r="N50" s="246">
        <v>0.6</v>
      </c>
      <c r="O50" s="257">
        <v>574.20000000000005</v>
      </c>
      <c r="P50" s="258">
        <f t="shared" ref="P50" si="48">$J50*$K50*$N50</f>
        <v>161.028648</v>
      </c>
      <c r="Q50" s="258">
        <f t="shared" si="23"/>
        <v>281.80013399999996</v>
      </c>
      <c r="R50" s="258">
        <f t="shared" si="24"/>
        <v>402.57161999999994</v>
      </c>
      <c r="S50" s="258"/>
      <c r="T50" s="258"/>
      <c r="U50" s="258"/>
      <c r="V50" s="30"/>
      <c r="W50" s="4">
        <v>2.3999999999999998E-3</v>
      </c>
      <c r="X50" s="5">
        <v>0.99760000000000004</v>
      </c>
      <c r="Y50" s="256">
        <f t="shared" si="25"/>
        <v>0.38646875519999996</v>
      </c>
      <c r="Z50" s="256">
        <f t="shared" si="26"/>
        <v>0.67632032159999989</v>
      </c>
      <c r="AA50" s="256">
        <f t="shared" si="27"/>
        <v>0.96617188799999976</v>
      </c>
      <c r="AB50" s="256">
        <f t="shared" si="28"/>
        <v>160.64217924480002</v>
      </c>
      <c r="AC50" s="256">
        <f t="shared" si="29"/>
        <v>281.12381367839998</v>
      </c>
      <c r="AD50" s="256">
        <f t="shared" si="30"/>
        <v>401.60544811199998</v>
      </c>
      <c r="AE50" s="5"/>
      <c r="AF50" s="5"/>
      <c r="AG50" s="5"/>
      <c r="AH50" s="5"/>
      <c r="AI50" s="5"/>
      <c r="AJ50" s="108"/>
      <c r="AK50" s="19"/>
      <c r="AL50" s="4">
        <v>10</v>
      </c>
      <c r="AM50" s="259">
        <f t="shared" si="39"/>
        <v>1.1415525114155251E-3</v>
      </c>
      <c r="AN50" s="259">
        <f t="shared" si="44"/>
        <v>0.99885844748858443</v>
      </c>
      <c r="AO50" s="256">
        <f t="shared" si="40"/>
        <v>0.1833814831561644</v>
      </c>
      <c r="AP50" s="256">
        <f t="shared" si="32"/>
        <v>9.1690741578082199E-2</v>
      </c>
      <c r="AQ50" s="256">
        <f t="shared" si="45"/>
        <v>160.55048850322191</v>
      </c>
      <c r="AR50" s="258"/>
      <c r="AS50" s="258"/>
      <c r="AT50" s="256">
        <f t="shared" si="46"/>
        <v>0.32091759552328764</v>
      </c>
      <c r="AU50" s="256">
        <f t="shared" si="34"/>
        <v>0.16045879776164382</v>
      </c>
      <c r="AV50" s="258">
        <f t="shared" si="42"/>
        <v>280.96335488063829</v>
      </c>
      <c r="AW50" s="258"/>
      <c r="AX50" s="258"/>
      <c r="AY50" s="256">
        <f t="shared" si="35"/>
        <v>0.4584537078904109</v>
      </c>
      <c r="AZ50" s="256">
        <f t="shared" si="36"/>
        <v>0.22922685394520545</v>
      </c>
      <c r="BA50" s="258">
        <f t="shared" si="37"/>
        <v>401.37622125805473</v>
      </c>
      <c r="BB50" s="258"/>
      <c r="BC50" s="28"/>
      <c r="BD50" s="18"/>
      <c r="BE50" s="5"/>
      <c r="BF50" s="5"/>
      <c r="BG50" s="5"/>
      <c r="BH50" s="5"/>
      <c r="BI50" s="5"/>
      <c r="BJ50" s="5"/>
      <c r="BK50" s="5"/>
      <c r="BL50" s="5"/>
      <c r="BM50" s="5"/>
      <c r="BN50" s="5"/>
      <c r="BO50" s="5"/>
      <c r="BP50" s="5"/>
      <c r="BQ50" s="29"/>
      <c r="DZ50" s="38"/>
      <c r="EA50" s="38"/>
      <c r="EB50" s="38"/>
      <c r="EC50" s="38"/>
      <c r="ED50" s="38"/>
      <c r="EE50" s="38"/>
      <c r="EF50" s="38"/>
      <c r="EG50" s="38"/>
      <c r="EH50" s="38"/>
      <c r="EI50" s="38"/>
      <c r="EJ50" s="38"/>
      <c r="EK50" s="38"/>
      <c r="EL50" s="38"/>
      <c r="EM50" s="38"/>
      <c r="EN50" s="38"/>
      <c r="EO50" s="38"/>
      <c r="EP50" s="38"/>
      <c r="EQ50" s="38"/>
      <c r="ER50" s="38"/>
      <c r="ES50" s="38"/>
      <c r="ET50" s="38"/>
      <c r="EU50" s="38"/>
      <c r="EV50" s="38"/>
    </row>
    <row r="51" spans="1:152" x14ac:dyDescent="0.2">
      <c r="E51" s="250"/>
      <c r="J51" s="1"/>
      <c r="O51" s="38"/>
      <c r="T51" s="251"/>
      <c r="AE51" s="251"/>
      <c r="AF51" s="251"/>
      <c r="AG51" s="251"/>
      <c r="AH51" s="251"/>
      <c r="AI51" s="251"/>
      <c r="AJ51" s="251"/>
      <c r="AW51" s="251"/>
      <c r="AX51" s="251"/>
      <c r="BD51" s="59"/>
      <c r="BQ51" s="118"/>
      <c r="DZ51" s="38"/>
      <c r="EA51" s="38"/>
      <c r="EB51" s="38"/>
      <c r="EC51" s="38"/>
      <c r="ED51" s="38"/>
      <c r="EE51" s="38"/>
      <c r="EF51" s="38"/>
      <c r="EG51" s="38"/>
      <c r="EH51" s="38"/>
      <c r="EI51" s="38"/>
      <c r="EJ51" s="38"/>
      <c r="EK51" s="38"/>
      <c r="EL51" s="38"/>
      <c r="EM51" s="38"/>
      <c r="EN51" s="38"/>
      <c r="EO51" s="38"/>
      <c r="EP51" s="38"/>
      <c r="EQ51" s="38"/>
      <c r="ER51" s="38"/>
      <c r="ES51" s="38"/>
      <c r="ET51" s="38"/>
      <c r="EU51" s="38"/>
      <c r="EV51" s="38"/>
    </row>
    <row r="52" spans="1:152" x14ac:dyDescent="0.2">
      <c r="T52" s="251"/>
      <c r="AE52" s="251"/>
      <c r="AF52" s="251"/>
      <c r="AG52" s="251"/>
      <c r="AH52" s="251"/>
      <c r="AI52" s="251"/>
      <c r="AJ52" s="251"/>
      <c r="AW52" s="251"/>
      <c r="AX52" s="251"/>
      <c r="BD52" s="59"/>
      <c r="BE52" s="35"/>
      <c r="BF52" s="37"/>
      <c r="BG52" s="35"/>
      <c r="BH52" s="35"/>
      <c r="BI52" s="35"/>
      <c r="BJ52" s="35"/>
      <c r="BQ52" s="119"/>
      <c r="DZ52" s="38"/>
      <c r="EA52" s="38"/>
      <c r="EB52" s="38"/>
      <c r="EC52" s="38"/>
      <c r="ED52" s="38"/>
      <c r="EE52" s="38"/>
      <c r="EF52" s="38"/>
      <c r="EG52" s="38"/>
      <c r="EH52" s="38"/>
      <c r="EI52" s="38"/>
      <c r="EJ52" s="38"/>
      <c r="EK52" s="38"/>
      <c r="EL52" s="38"/>
      <c r="EM52" s="38"/>
      <c r="EN52" s="38"/>
      <c r="EO52" s="38"/>
      <c r="EP52" s="38"/>
      <c r="EQ52" s="38"/>
      <c r="ER52" s="38"/>
      <c r="ES52" s="38"/>
      <c r="ET52" s="38"/>
      <c r="EU52" s="38"/>
      <c r="EV52" s="38"/>
    </row>
    <row r="53" spans="1:152" ht="22.25" customHeight="1" x14ac:dyDescent="0.2">
      <c r="T53" s="251"/>
      <c r="AE53" s="251"/>
      <c r="AF53" s="251"/>
      <c r="AG53" s="251"/>
      <c r="AH53" s="251"/>
      <c r="AI53" s="251"/>
      <c r="AJ53" s="251"/>
      <c r="AL53" t="s">
        <v>93</v>
      </c>
      <c r="AW53" s="251"/>
      <c r="AX53" s="251"/>
      <c r="BD53" s="18"/>
      <c r="BE53" s="7" t="s">
        <v>84</v>
      </c>
      <c r="BF53" s="67"/>
      <c r="BG53" s="7"/>
      <c r="BH53" s="7"/>
      <c r="BI53" s="7"/>
      <c r="BJ53" s="7"/>
      <c r="BK53" s="1"/>
      <c r="BL53" s="1"/>
      <c r="BM53" s="1"/>
      <c r="BN53" s="1"/>
      <c r="BO53" s="1"/>
      <c r="BP53" s="1"/>
      <c r="BQ53" s="117"/>
      <c r="DZ53" s="38"/>
      <c r="EA53" s="38"/>
      <c r="EB53" s="38"/>
      <c r="EC53" s="38"/>
      <c r="ED53" s="38"/>
      <c r="EE53" s="38"/>
      <c r="EF53" s="38"/>
      <c r="EG53" s="38"/>
      <c r="EH53" s="38"/>
      <c r="EI53" s="38"/>
      <c r="EJ53" s="38"/>
      <c r="EK53" s="38"/>
      <c r="EL53" s="38"/>
      <c r="EM53" s="38"/>
      <c r="EN53" s="38"/>
      <c r="EO53" s="38"/>
      <c r="EP53" s="38"/>
      <c r="EQ53" s="38"/>
      <c r="ER53" s="38"/>
      <c r="ES53" s="38"/>
      <c r="ET53" s="38"/>
      <c r="EU53" s="38"/>
      <c r="EV53" s="38"/>
    </row>
    <row r="54" spans="1:152" x14ac:dyDescent="0.2">
      <c r="T54" s="251"/>
      <c r="AE54" s="251"/>
      <c r="AF54" s="251"/>
      <c r="AG54" s="251"/>
      <c r="AH54" s="251"/>
      <c r="AI54" s="251"/>
      <c r="AJ54" s="251"/>
      <c r="AW54" s="251"/>
      <c r="AX54" s="251"/>
      <c r="BD54" s="18"/>
      <c r="BE54" s="9" t="s">
        <v>77</v>
      </c>
      <c r="BF54" s="9" t="s">
        <v>78</v>
      </c>
      <c r="BG54" s="9" t="s">
        <v>79</v>
      </c>
      <c r="BH54" s="9"/>
      <c r="BI54" s="9"/>
      <c r="BJ54" s="9"/>
      <c r="BQ54" s="117"/>
      <c r="DZ54" s="38"/>
      <c r="EA54" s="38"/>
      <c r="EB54" s="38"/>
      <c r="EC54" s="38"/>
      <c r="ED54" s="38"/>
      <c r="EE54" s="38"/>
      <c r="EF54" s="38"/>
      <c r="EG54" s="38"/>
      <c r="EH54" s="38"/>
      <c r="EI54" s="38"/>
      <c r="EJ54" s="38"/>
      <c r="EK54" s="38"/>
      <c r="EL54" s="38"/>
      <c r="EM54" s="38"/>
      <c r="EN54" s="38"/>
      <c r="EO54" s="38"/>
      <c r="EP54" s="38"/>
      <c r="EQ54" s="38"/>
      <c r="ER54" s="38"/>
      <c r="ES54" s="38"/>
      <c r="ET54" s="38"/>
      <c r="EU54" s="38"/>
      <c r="EV54" s="38"/>
    </row>
    <row r="55" spans="1:152" x14ac:dyDescent="0.2">
      <c r="T55" s="251"/>
      <c r="AE55" s="251"/>
      <c r="AF55" s="251"/>
      <c r="AG55" s="251"/>
      <c r="AH55" s="251"/>
      <c r="AI55" s="251"/>
      <c r="AJ55" s="251"/>
      <c r="AW55" s="251"/>
      <c r="AX55" s="251"/>
      <c r="BD55" s="18"/>
      <c r="BE55" s="9"/>
      <c r="BF55" s="9"/>
      <c r="BG55" s="9"/>
      <c r="BH55" s="9"/>
      <c r="BI55" s="9"/>
      <c r="BJ55" s="9"/>
      <c r="BQ55" s="117"/>
      <c r="DZ55" s="38"/>
      <c r="EA55" s="38"/>
      <c r="EB55" s="38"/>
      <c r="EC55" s="38"/>
      <c r="ED55" s="38"/>
      <c r="EE55" s="38"/>
      <c r="EF55" s="38"/>
      <c r="EG55" s="38"/>
      <c r="EH55" s="38"/>
      <c r="EI55" s="38"/>
      <c r="EJ55" s="38"/>
      <c r="EK55" s="38"/>
      <c r="EL55" s="38"/>
      <c r="EM55" s="38"/>
      <c r="EN55" s="38"/>
      <c r="EO55" s="38"/>
      <c r="EP55" s="38"/>
      <c r="EQ55" s="38"/>
      <c r="ER55" s="38"/>
      <c r="ES55" s="38"/>
      <c r="ET55" s="38"/>
      <c r="EU55" s="38"/>
      <c r="EV55" s="38"/>
    </row>
    <row r="56" spans="1:152" x14ac:dyDescent="0.2">
      <c r="T56" s="251"/>
      <c r="AE56" s="251"/>
      <c r="AF56" s="251"/>
      <c r="AG56" s="251"/>
      <c r="AH56" s="251"/>
      <c r="AI56" s="251"/>
      <c r="AJ56" s="251"/>
      <c r="AW56" s="251"/>
      <c r="AX56" s="251"/>
      <c r="BD56" s="19"/>
      <c r="BE56" s="33">
        <v>0.88480000000000003</v>
      </c>
      <c r="BF56" s="33">
        <v>0.94579999999999997</v>
      </c>
      <c r="BG56" s="33">
        <v>0.97699999999999998</v>
      </c>
      <c r="BH56" s="33"/>
      <c r="BI56" s="33"/>
      <c r="BJ56" s="33"/>
      <c r="BQ56" s="29"/>
      <c r="DZ56" s="38"/>
      <c r="EA56" s="38"/>
      <c r="EB56" s="38"/>
      <c r="EC56" s="38"/>
      <c r="ED56" s="38"/>
      <c r="EE56" s="38"/>
      <c r="EF56" s="38"/>
      <c r="EG56" s="38"/>
      <c r="EH56" s="38"/>
      <c r="EI56" s="38"/>
      <c r="EJ56" s="38"/>
      <c r="EK56" s="38"/>
      <c r="EL56" s="38"/>
      <c r="EM56" s="38"/>
      <c r="EN56" s="38"/>
      <c r="EO56" s="38"/>
      <c r="EP56" s="38"/>
      <c r="EQ56" s="38"/>
      <c r="ER56" s="38"/>
      <c r="ES56" s="38"/>
      <c r="ET56" s="38"/>
      <c r="EU56" s="38"/>
      <c r="EV56" s="38"/>
    </row>
    <row r="57" spans="1:152" x14ac:dyDescent="0.2">
      <c r="T57" s="251"/>
      <c r="AE57" s="251"/>
      <c r="AF57" s="251"/>
      <c r="AG57" s="251"/>
      <c r="AH57" s="251"/>
      <c r="AI57" s="251"/>
      <c r="AJ57" s="251"/>
      <c r="AW57" s="251"/>
      <c r="AX57" s="251"/>
      <c r="BE57" s="36"/>
      <c r="BF57" s="36"/>
      <c r="BG57" s="36"/>
      <c r="BH57" s="36"/>
      <c r="BI57" s="36"/>
      <c r="BJ57" s="36"/>
      <c r="BK57" s="250"/>
      <c r="BL57" s="250"/>
      <c r="BM57" s="250"/>
      <c r="BN57" s="36"/>
      <c r="BO57" s="36"/>
      <c r="BP57" s="36"/>
      <c r="BQ57" s="36"/>
      <c r="DZ57" s="38"/>
      <c r="EA57" s="38"/>
      <c r="EB57" s="38"/>
      <c r="EC57" s="38"/>
      <c r="ED57" s="38"/>
      <c r="EE57" s="38"/>
      <c r="EF57" s="38"/>
      <c r="EG57" s="38"/>
      <c r="EH57" s="38"/>
      <c r="EI57" s="38"/>
      <c r="EJ57" s="38"/>
      <c r="EK57" s="38"/>
      <c r="EL57" s="38"/>
      <c r="EM57" s="38"/>
      <c r="EN57" s="38"/>
      <c r="EO57" s="38"/>
      <c r="EP57" s="38"/>
      <c r="EQ57" s="38"/>
      <c r="ER57" s="38"/>
      <c r="ES57" s="38"/>
      <c r="ET57" s="38"/>
      <c r="EU57" s="38"/>
      <c r="EV57" s="38"/>
    </row>
    <row r="58" spans="1:152" x14ac:dyDescent="0.2">
      <c r="T58" s="251"/>
      <c r="AE58" s="251"/>
      <c r="AF58" s="251"/>
      <c r="AG58" s="251"/>
      <c r="AH58" s="251"/>
      <c r="AI58" s="251"/>
      <c r="AJ58" s="251"/>
      <c r="AW58" s="251"/>
      <c r="AX58" s="251"/>
      <c r="BK58" s="251"/>
      <c r="BL58" s="251"/>
      <c r="BM58" s="251"/>
    </row>
    <row r="59" spans="1:152" x14ac:dyDescent="0.2">
      <c r="T59" s="251"/>
      <c r="AE59" s="251"/>
      <c r="AF59" s="251"/>
      <c r="AG59" s="251"/>
      <c r="AH59" s="251"/>
      <c r="AI59" s="251"/>
      <c r="AJ59" s="251"/>
      <c r="BK59" s="251"/>
      <c r="BL59" s="251"/>
      <c r="BM59" s="251"/>
    </row>
    <row r="60" spans="1:152" x14ac:dyDescent="0.2">
      <c r="BK60" s="251"/>
      <c r="BL60" s="251"/>
      <c r="BM60" s="251"/>
    </row>
    <row r="61" spans="1:152" x14ac:dyDescent="0.2">
      <c r="BK61" s="251"/>
      <c r="BL61" s="251"/>
      <c r="BM61" s="251"/>
    </row>
    <row r="62" spans="1:152" x14ac:dyDescent="0.2">
      <c r="AM62" t="s">
        <v>93</v>
      </c>
      <c r="BK62" s="251"/>
      <c r="BL62" s="251"/>
      <c r="BM62" s="25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77D8C-8AFA-4F7B-A0BE-7E154AE0E5E1}">
  <dimension ref="A1:EU56"/>
  <sheetViews>
    <sheetView zoomScale="70" zoomScaleNormal="70" workbookViewId="0">
      <selection activeCell="BJ33" sqref="BJ33"/>
    </sheetView>
  </sheetViews>
  <sheetFormatPr baseColWidth="10" defaultColWidth="8.83203125" defaultRowHeight="16" x14ac:dyDescent="0.2"/>
  <cols>
    <col min="10" max="10" width="35.33203125" customWidth="1"/>
    <col min="11" max="11" width="31.6640625" customWidth="1"/>
    <col min="12" max="12" width="37.83203125" customWidth="1"/>
    <col min="13" max="13" width="26.83203125" customWidth="1"/>
    <col min="14" max="14" width="21.83203125" customWidth="1"/>
    <col min="15" max="15" width="32.33203125" customWidth="1"/>
    <col min="16" max="16" width="18.5" customWidth="1"/>
    <col min="17" max="17" width="14.5" customWidth="1"/>
    <col min="18" max="18" width="27.83203125" customWidth="1"/>
    <col min="19" max="19" width="16.1640625" customWidth="1"/>
    <col min="20" max="20" width="16.33203125" customWidth="1"/>
    <col min="22" max="22" width="33" customWidth="1"/>
    <col min="23" max="23" width="29.5" customWidth="1"/>
    <col min="24" max="24" width="31.6640625" customWidth="1"/>
    <col min="25" max="25" width="26.83203125" customWidth="1"/>
    <col min="26" max="26" width="30.83203125" customWidth="1"/>
    <col min="27" max="27" width="44.1640625" customWidth="1"/>
    <col min="28" max="28" width="40.1640625" customWidth="1"/>
    <col min="29" max="29" width="14.33203125" customWidth="1"/>
    <col min="30" max="30" width="8.6640625" customWidth="1"/>
    <col min="32" max="33" width="13.33203125" customWidth="1"/>
    <col min="34" max="34" width="15.6640625" customWidth="1"/>
    <col min="35" max="35" width="17.1640625" customWidth="1"/>
    <col min="36" max="36" width="8.5" customWidth="1"/>
    <col min="37" max="37" width="40.83203125" customWidth="1"/>
    <col min="38" max="38" width="29.5" customWidth="1"/>
    <col min="39" max="39" width="34.5" customWidth="1"/>
    <col min="40" max="41" width="30.5" customWidth="1"/>
    <col min="42" max="42" width="34.33203125" customWidth="1"/>
    <col min="45" max="46" width="20.5" customWidth="1"/>
    <col min="47" max="47" width="22.1640625" customWidth="1"/>
    <col min="48" max="48" width="45.33203125" bestFit="1" customWidth="1"/>
    <col min="49" max="49" width="39.6640625" bestFit="1" customWidth="1"/>
    <col min="50" max="51" width="22.33203125" customWidth="1"/>
    <col min="53" max="53" width="17.1640625" customWidth="1"/>
    <col min="54" max="54" width="12.6640625" customWidth="1"/>
    <col min="56" max="56" width="8.83203125" customWidth="1"/>
    <col min="68" max="68" width="4.33203125" style="121" customWidth="1"/>
    <col min="69" max="69" width="12.33203125" customWidth="1"/>
    <col min="70" max="70" width="13.1640625" customWidth="1"/>
    <col min="71" max="71" width="13.5" customWidth="1"/>
    <col min="72" max="72" width="10.83203125" customWidth="1"/>
    <col min="73" max="73" width="10.33203125" customWidth="1"/>
    <col min="75" max="75" width="10.33203125" customWidth="1"/>
    <col min="76" max="76" width="11.1640625" customWidth="1"/>
    <col min="77" max="78" width="10.83203125" customWidth="1"/>
    <col min="79" max="79" width="12.5" customWidth="1"/>
    <col min="80" max="80" width="12.6640625" customWidth="1"/>
    <col min="81" max="81" width="4.33203125" style="121" customWidth="1"/>
    <col min="82" max="82" width="22.83203125" customWidth="1"/>
    <col min="83" max="83" width="21.33203125" customWidth="1"/>
    <col min="84" max="84" width="13.1640625" style="27" customWidth="1"/>
    <col min="85" max="86" width="12.1640625" style="27" customWidth="1"/>
    <col min="87" max="87" width="14" style="27" customWidth="1"/>
    <col min="88" max="88" width="11.83203125" style="27" customWidth="1"/>
    <col min="89" max="89" width="9.83203125" style="27" customWidth="1"/>
    <col min="90" max="101" width="9.6640625" style="27" customWidth="1"/>
    <col min="102" max="102" width="9.6640625" style="121" customWidth="1"/>
    <col min="103" max="103" width="9.6640625" customWidth="1"/>
    <col min="104" max="104" width="13.5" customWidth="1"/>
    <col min="105" max="121" width="9.6640625" customWidth="1"/>
    <col min="122" max="122" width="11.33203125" customWidth="1"/>
    <col min="123" max="123" width="9.6640625" customWidth="1"/>
    <col min="124" max="124" width="16.83203125" customWidth="1"/>
    <col min="125" max="125" width="13.5" customWidth="1"/>
    <col min="126" max="126" width="14" customWidth="1"/>
    <col min="127" max="127" width="14.1640625" customWidth="1"/>
    <col min="128" max="128" width="13.5" customWidth="1"/>
    <col min="129" max="129" width="12.1640625" customWidth="1"/>
    <col min="140" max="140" width="12.33203125" customWidth="1"/>
    <col min="141" max="141" width="12.83203125" customWidth="1"/>
    <col min="142" max="142" width="13.6640625" customWidth="1"/>
  </cols>
  <sheetData>
    <row r="1" spans="1:151" ht="34" x14ac:dyDescent="0.4">
      <c r="A1" s="14" t="s">
        <v>46</v>
      </c>
      <c r="B1" s="11"/>
      <c r="C1" s="11"/>
      <c r="D1" s="11"/>
      <c r="E1" s="11"/>
      <c r="F1" s="11"/>
      <c r="G1" s="11" t="s">
        <v>22</v>
      </c>
      <c r="H1" s="31"/>
      <c r="I1" s="32"/>
      <c r="J1" s="12" t="s">
        <v>103</v>
      </c>
      <c r="K1" s="12"/>
      <c r="L1" s="12"/>
      <c r="M1" s="12"/>
      <c r="N1" s="11"/>
      <c r="O1" s="66" t="s">
        <v>133</v>
      </c>
      <c r="P1" s="11"/>
      <c r="Q1" s="43" t="s">
        <v>132</v>
      </c>
      <c r="R1" s="11"/>
      <c r="S1" s="11"/>
      <c r="T1" s="11"/>
      <c r="U1" s="11"/>
      <c r="V1" s="98" t="s">
        <v>181</v>
      </c>
      <c r="W1" s="99"/>
      <c r="X1" s="99" t="s">
        <v>189</v>
      </c>
      <c r="Y1" s="99"/>
      <c r="Z1" s="99"/>
      <c r="AA1" s="99"/>
      <c r="AB1" s="99"/>
      <c r="AC1" s="99"/>
      <c r="AD1" s="99" t="s">
        <v>188</v>
      </c>
      <c r="AE1" s="99"/>
      <c r="AF1" s="99"/>
      <c r="AG1" s="11"/>
      <c r="AH1" s="11"/>
      <c r="AI1" s="11"/>
      <c r="AJ1" s="11"/>
      <c r="AK1" s="65" t="s">
        <v>123</v>
      </c>
      <c r="AL1" s="11"/>
      <c r="AM1" s="11"/>
      <c r="AN1" s="11"/>
      <c r="AO1" s="11"/>
      <c r="AP1" s="11"/>
      <c r="AQ1" s="44"/>
      <c r="AR1" s="44"/>
      <c r="AS1" s="11"/>
      <c r="AT1" s="11"/>
      <c r="AU1" s="11"/>
      <c r="AV1" s="44"/>
      <c r="AW1" s="44"/>
      <c r="AX1" s="11"/>
      <c r="AY1" s="11"/>
      <c r="AZ1" s="11"/>
      <c r="BA1" s="44"/>
      <c r="BB1" s="44"/>
      <c r="BC1" s="11"/>
      <c r="BD1" s="61" t="s">
        <v>83</v>
      </c>
      <c r="BE1" s="11"/>
      <c r="BF1" s="11"/>
      <c r="BG1" s="11"/>
      <c r="BH1" s="11"/>
      <c r="BI1" s="11"/>
      <c r="BJ1" s="11"/>
      <c r="BK1" s="11"/>
      <c r="BL1" s="11"/>
      <c r="BM1" s="11"/>
      <c r="BN1" s="11"/>
      <c r="BO1" s="70"/>
      <c r="BQ1" s="43" t="s">
        <v>233</v>
      </c>
      <c r="BR1" s="11"/>
      <c r="BS1" s="11"/>
      <c r="BT1" s="11"/>
      <c r="BU1" s="11"/>
      <c r="BV1" s="11"/>
      <c r="BW1" s="11"/>
      <c r="BX1" s="11"/>
      <c r="BY1" s="11"/>
      <c r="BZ1" s="11"/>
      <c r="CA1" s="11"/>
      <c r="CB1" s="11"/>
      <c r="CD1" s="164" t="s">
        <v>291</v>
      </c>
      <c r="CE1" s="11"/>
      <c r="CF1" s="139"/>
      <c r="CG1" s="139"/>
      <c r="CH1" s="139"/>
      <c r="CI1" s="139"/>
      <c r="CJ1" s="139"/>
      <c r="CK1" s="139"/>
      <c r="CL1" s="139"/>
      <c r="CM1" s="139"/>
      <c r="CN1" s="139"/>
      <c r="CO1" s="139"/>
      <c r="CP1" s="139"/>
      <c r="CQ1" s="139"/>
      <c r="CR1" s="139"/>
      <c r="CS1" s="139"/>
      <c r="CT1" s="139"/>
      <c r="CU1" s="139"/>
      <c r="CV1" s="139"/>
      <c r="CW1" s="139"/>
      <c r="CY1" s="164" t="s">
        <v>309</v>
      </c>
      <c r="CZ1" s="164"/>
      <c r="DA1" s="139"/>
      <c r="DB1" s="139"/>
      <c r="DC1" s="139"/>
      <c r="DD1" s="139"/>
      <c r="DE1" s="139"/>
      <c r="DF1" s="139"/>
      <c r="DG1" s="139"/>
      <c r="DH1" s="139"/>
      <c r="DI1" s="139"/>
      <c r="DJ1" s="139"/>
      <c r="DK1" s="139"/>
      <c r="DL1" s="139"/>
      <c r="DM1" s="139"/>
      <c r="DN1" s="139"/>
      <c r="DO1" s="139"/>
      <c r="DP1" s="139"/>
      <c r="DQ1" s="139"/>
      <c r="DR1" s="139"/>
      <c r="DS1" s="121"/>
      <c r="DT1" s="120" t="s">
        <v>409</v>
      </c>
      <c r="DU1" s="11"/>
      <c r="DV1" s="11"/>
      <c r="DW1" s="51"/>
      <c r="DX1" s="11"/>
      <c r="DY1" s="39"/>
      <c r="DZ1" s="39"/>
      <c r="EA1" s="39"/>
      <c r="EB1" s="39"/>
      <c r="EC1" s="121"/>
      <c r="ED1" s="120" t="s">
        <v>313</v>
      </c>
      <c r="EE1" s="11"/>
      <c r="EF1" s="11"/>
      <c r="EG1" s="51"/>
      <c r="EH1" s="11"/>
      <c r="EI1" s="39"/>
      <c r="EJ1" s="39"/>
      <c r="EK1" s="39"/>
      <c r="EL1" s="194"/>
      <c r="EM1" s="120" t="s">
        <v>313</v>
      </c>
      <c r="EN1" s="11"/>
      <c r="EO1" s="11"/>
      <c r="EP1" s="51"/>
      <c r="EQ1" s="11"/>
      <c r="ER1" s="39"/>
      <c r="ES1" s="39"/>
      <c r="ET1" s="39"/>
      <c r="EU1" s="194"/>
    </row>
    <row r="2" spans="1:151" ht="19" x14ac:dyDescent="0.25">
      <c r="A2" s="26"/>
      <c r="H2" s="20"/>
      <c r="I2" s="21"/>
      <c r="J2" s="6" t="s">
        <v>351</v>
      </c>
      <c r="K2" s="7"/>
      <c r="L2" s="7"/>
      <c r="M2" s="7"/>
      <c r="N2" s="7"/>
      <c r="O2" s="7" t="s">
        <v>95</v>
      </c>
      <c r="P2" s="7" t="s">
        <v>96</v>
      </c>
      <c r="Q2" s="7" t="s">
        <v>97</v>
      </c>
      <c r="R2" s="7" t="s">
        <v>101</v>
      </c>
      <c r="S2" s="7" t="s">
        <v>96</v>
      </c>
      <c r="T2" s="7" t="s">
        <v>102</v>
      </c>
      <c r="U2" s="16"/>
      <c r="V2" s="102" t="s">
        <v>185</v>
      </c>
      <c r="W2" s="62"/>
      <c r="X2" s="62" t="s">
        <v>183</v>
      </c>
      <c r="Y2" s="62"/>
      <c r="Z2" s="62"/>
      <c r="AA2" s="62" t="s">
        <v>187</v>
      </c>
      <c r="AB2" s="62"/>
      <c r="AC2" s="62"/>
      <c r="AD2" s="62" t="s">
        <v>183</v>
      </c>
      <c r="AE2" s="62"/>
      <c r="AF2" s="62"/>
      <c r="AG2" s="62" t="s">
        <v>187</v>
      </c>
      <c r="AH2" s="62"/>
      <c r="AI2" s="62"/>
      <c r="AJ2" s="101"/>
      <c r="AK2" s="64" t="s">
        <v>86</v>
      </c>
      <c r="AL2" s="37"/>
      <c r="AM2" s="37"/>
      <c r="AN2" s="37" t="s">
        <v>107</v>
      </c>
      <c r="AO2" s="37" t="s">
        <v>107</v>
      </c>
      <c r="AP2" s="37" t="s">
        <v>107</v>
      </c>
      <c r="AQ2" s="37" t="s">
        <v>116</v>
      </c>
      <c r="AR2" s="37" t="s">
        <v>116</v>
      </c>
      <c r="AS2" s="37" t="s">
        <v>106</v>
      </c>
      <c r="AT2" s="37" t="s">
        <v>106</v>
      </c>
      <c r="AU2" s="37" t="s">
        <v>106</v>
      </c>
      <c r="AV2" s="37" t="s">
        <v>112</v>
      </c>
      <c r="AW2" s="37" t="s">
        <v>112</v>
      </c>
      <c r="AX2" s="37" t="s">
        <v>109</v>
      </c>
      <c r="AY2" s="37" t="s">
        <v>109</v>
      </c>
      <c r="AZ2" s="37" t="s">
        <v>109</v>
      </c>
      <c r="BA2" s="37" t="s">
        <v>113</v>
      </c>
      <c r="BB2" s="37" t="s">
        <v>113</v>
      </c>
      <c r="BC2" s="58"/>
      <c r="BD2" s="7"/>
      <c r="BE2" s="7"/>
      <c r="BF2" s="7"/>
      <c r="BG2" s="7" t="s">
        <v>118</v>
      </c>
      <c r="BH2" s="7"/>
      <c r="BI2" s="7"/>
      <c r="BJ2" s="49" t="s">
        <v>119</v>
      </c>
      <c r="BK2" s="7"/>
      <c r="BL2" s="7"/>
      <c r="BM2" s="6" t="s">
        <v>120</v>
      </c>
      <c r="BN2" s="7"/>
      <c r="BO2" s="62"/>
      <c r="BP2" s="122"/>
      <c r="BQ2" s="7" t="s">
        <v>231</v>
      </c>
      <c r="BR2" s="7"/>
      <c r="BS2" s="7"/>
      <c r="BT2" s="7" t="s">
        <v>118</v>
      </c>
      <c r="BU2" s="7"/>
      <c r="BV2" s="7"/>
      <c r="BW2" s="49" t="s">
        <v>119</v>
      </c>
      <c r="BX2" s="7"/>
      <c r="BY2" s="7"/>
      <c r="BZ2" s="6" t="s">
        <v>120</v>
      </c>
      <c r="CA2" s="7"/>
      <c r="CB2" s="7"/>
      <c r="CC2" s="122"/>
      <c r="CD2" s="154" t="s">
        <v>290</v>
      </c>
      <c r="CE2" s="165"/>
      <c r="CF2" s="168" t="s">
        <v>282</v>
      </c>
      <c r="CG2" s="168"/>
      <c r="CH2" s="168"/>
      <c r="CI2" s="168"/>
      <c r="CJ2" s="168"/>
      <c r="CK2" s="170"/>
      <c r="CL2" s="168" t="s">
        <v>285</v>
      </c>
      <c r="CM2" s="168"/>
      <c r="CN2" s="168"/>
      <c r="CO2" s="168"/>
      <c r="CP2" s="168"/>
      <c r="CQ2" s="170"/>
      <c r="CR2" s="168" t="s">
        <v>287</v>
      </c>
      <c r="CS2" s="168"/>
      <c r="CT2" s="168"/>
      <c r="CU2" s="168"/>
      <c r="CV2" s="168"/>
      <c r="CW2" s="168"/>
      <c r="CX2" s="122"/>
      <c r="CY2" s="168" t="s">
        <v>306</v>
      </c>
      <c r="CZ2" s="168"/>
      <c r="DA2" s="168" t="s">
        <v>311</v>
      </c>
      <c r="DB2" s="168"/>
      <c r="DC2" s="168"/>
      <c r="DD2" s="168"/>
      <c r="DE2" s="168"/>
      <c r="DF2" s="168"/>
      <c r="DG2" s="168"/>
      <c r="DH2" s="168"/>
      <c r="DI2" s="170"/>
      <c r="DJ2" s="168" t="s">
        <v>312</v>
      </c>
      <c r="DK2" s="168"/>
      <c r="DL2" s="168"/>
      <c r="DM2" s="168"/>
      <c r="DN2" s="168"/>
      <c r="DO2" s="168"/>
      <c r="DP2" s="168"/>
      <c r="DQ2" s="168"/>
      <c r="DR2" s="168"/>
      <c r="DS2" s="122"/>
      <c r="DT2" s="60" t="s">
        <v>105</v>
      </c>
      <c r="DU2" s="8"/>
      <c r="DV2" s="8"/>
      <c r="DW2" s="57" t="s">
        <v>104</v>
      </c>
      <c r="DX2" s="8"/>
      <c r="DY2" s="40"/>
      <c r="DZ2" s="52" t="s">
        <v>108</v>
      </c>
      <c r="EA2" s="50"/>
      <c r="EB2" s="50"/>
      <c r="EC2" s="122"/>
      <c r="ED2" s="60" t="s">
        <v>293</v>
      </c>
      <c r="EE2" s="8"/>
      <c r="EF2" s="8"/>
      <c r="EG2" s="57" t="s">
        <v>104</v>
      </c>
      <c r="EH2" s="8"/>
      <c r="EI2" s="40"/>
      <c r="EJ2" s="52" t="s">
        <v>108</v>
      </c>
      <c r="EK2" s="50"/>
      <c r="EL2" s="195"/>
      <c r="EM2" s="60" t="s">
        <v>293</v>
      </c>
      <c r="EN2" s="8"/>
      <c r="EO2" s="8"/>
      <c r="EP2" s="57" t="s">
        <v>104</v>
      </c>
      <c r="EQ2" s="8"/>
      <c r="ER2" s="40"/>
      <c r="ES2" s="52" t="s">
        <v>108</v>
      </c>
      <c r="ET2" s="50"/>
      <c r="EU2" s="195"/>
    </row>
    <row r="3" spans="1:151" ht="22.25" customHeight="1" x14ac:dyDescent="0.2">
      <c r="A3" s="15" t="s">
        <v>0</v>
      </c>
      <c r="B3" s="15" t="s">
        <v>9</v>
      </c>
      <c r="C3" s="15" t="s">
        <v>2</v>
      </c>
      <c r="D3" s="15" t="s">
        <v>1</v>
      </c>
      <c r="E3" s="15" t="s">
        <v>3</v>
      </c>
      <c r="F3" s="15" t="s">
        <v>6</v>
      </c>
      <c r="G3" s="15" t="s">
        <v>5</v>
      </c>
      <c r="H3" s="22"/>
      <c r="I3" s="23"/>
      <c r="J3" s="9" t="s">
        <v>74</v>
      </c>
      <c r="K3" s="9" t="s">
        <v>127</v>
      </c>
      <c r="L3" s="9" t="s">
        <v>129</v>
      </c>
      <c r="M3" s="9" t="s">
        <v>131</v>
      </c>
      <c r="N3" s="9" t="s">
        <v>1</v>
      </c>
      <c r="O3" s="10" t="s">
        <v>98</v>
      </c>
      <c r="P3" s="10" t="s">
        <v>76</v>
      </c>
      <c r="Q3" s="10" t="s">
        <v>99</v>
      </c>
      <c r="R3" s="10" t="s">
        <v>100</v>
      </c>
      <c r="S3" s="10" t="s">
        <v>100</v>
      </c>
      <c r="T3" s="10" t="s">
        <v>100</v>
      </c>
      <c r="U3" s="17"/>
      <c r="V3" s="103" t="s">
        <v>182</v>
      </c>
      <c r="W3" s="103" t="s">
        <v>184</v>
      </c>
      <c r="X3" s="100" t="s">
        <v>101</v>
      </c>
      <c r="Y3" s="100" t="s">
        <v>96</v>
      </c>
      <c r="Z3" s="100" t="s">
        <v>102</v>
      </c>
      <c r="AA3" s="100" t="s">
        <v>101</v>
      </c>
      <c r="AB3" s="100" t="s">
        <v>96</v>
      </c>
      <c r="AC3" s="100" t="s">
        <v>102</v>
      </c>
      <c r="AD3" s="100" t="s">
        <v>101</v>
      </c>
      <c r="AE3" s="100" t="s">
        <v>96</v>
      </c>
      <c r="AF3" s="100" t="s">
        <v>102</v>
      </c>
      <c r="AG3" s="100" t="s">
        <v>101</v>
      </c>
      <c r="AH3" s="100" t="s">
        <v>96</v>
      </c>
      <c r="AI3" s="100" t="s">
        <v>102</v>
      </c>
      <c r="AJ3" s="17"/>
      <c r="AK3" s="10" t="s">
        <v>85</v>
      </c>
      <c r="AL3" s="10" t="s">
        <v>89</v>
      </c>
      <c r="AM3" s="10" t="s">
        <v>90</v>
      </c>
      <c r="AN3" s="10" t="s">
        <v>358</v>
      </c>
      <c r="AO3" s="10" t="s">
        <v>357</v>
      </c>
      <c r="AP3" s="10" t="s">
        <v>110</v>
      </c>
      <c r="AQ3" s="10" t="s">
        <v>91</v>
      </c>
      <c r="AR3" s="10" t="s">
        <v>92</v>
      </c>
      <c r="AS3" s="10" t="s">
        <v>359</v>
      </c>
      <c r="AT3" s="10" t="s">
        <v>360</v>
      </c>
      <c r="AU3" s="10" t="s">
        <v>111</v>
      </c>
      <c r="AV3" s="10" t="s">
        <v>91</v>
      </c>
      <c r="AW3" s="10" t="s">
        <v>92</v>
      </c>
      <c r="AX3" s="10" t="s">
        <v>359</v>
      </c>
      <c r="AY3" s="10" t="s">
        <v>356</v>
      </c>
      <c r="AZ3" s="10" t="s">
        <v>111</v>
      </c>
      <c r="BA3" s="10" t="s">
        <v>114</v>
      </c>
      <c r="BB3" s="10" t="s">
        <v>115</v>
      </c>
      <c r="BC3" s="58"/>
      <c r="BD3" s="9" t="s">
        <v>77</v>
      </c>
      <c r="BE3" s="9" t="s">
        <v>78</v>
      </c>
      <c r="BF3" s="9" t="s">
        <v>79</v>
      </c>
      <c r="BG3" s="45" t="s">
        <v>117</v>
      </c>
      <c r="BH3" s="10" t="s">
        <v>121</v>
      </c>
      <c r="BI3" s="10" t="s">
        <v>122</v>
      </c>
      <c r="BJ3" s="45" t="s">
        <v>117</v>
      </c>
      <c r="BK3" s="10" t="s">
        <v>121</v>
      </c>
      <c r="BL3" s="10" t="s">
        <v>122</v>
      </c>
      <c r="BM3" s="46" t="s">
        <v>117</v>
      </c>
      <c r="BN3" s="10" t="s">
        <v>121</v>
      </c>
      <c r="BO3" s="10" t="s">
        <v>122</v>
      </c>
      <c r="BP3" s="123"/>
      <c r="BQ3" s="9" t="s">
        <v>77</v>
      </c>
      <c r="BR3" s="9" t="s">
        <v>78</v>
      </c>
      <c r="BS3" s="9" t="s">
        <v>79</v>
      </c>
      <c r="BT3" s="45" t="s">
        <v>117</v>
      </c>
      <c r="BU3" s="10" t="s">
        <v>121</v>
      </c>
      <c r="BV3" s="10" t="s">
        <v>122</v>
      </c>
      <c r="BW3" s="45" t="s">
        <v>117</v>
      </c>
      <c r="BX3" s="10" t="s">
        <v>121</v>
      </c>
      <c r="BY3" s="10" t="s">
        <v>122</v>
      </c>
      <c r="BZ3" s="46" t="s">
        <v>117</v>
      </c>
      <c r="CA3" s="10" t="s">
        <v>121</v>
      </c>
      <c r="CB3" s="10" t="s">
        <v>122</v>
      </c>
      <c r="CC3" s="123"/>
      <c r="CD3" s="9" t="s">
        <v>277</v>
      </c>
      <c r="CE3" s="166" t="s">
        <v>278</v>
      </c>
      <c r="CF3" s="168" t="s">
        <v>117</v>
      </c>
      <c r="CG3" s="168" t="s">
        <v>117</v>
      </c>
      <c r="CH3" s="168" t="s">
        <v>121</v>
      </c>
      <c r="CI3" s="168" t="s">
        <v>121</v>
      </c>
      <c r="CJ3" s="168" t="s">
        <v>122</v>
      </c>
      <c r="CK3" s="170" t="s">
        <v>122</v>
      </c>
      <c r="CL3" s="168" t="s">
        <v>117</v>
      </c>
      <c r="CM3" s="168" t="s">
        <v>117</v>
      </c>
      <c r="CN3" s="168" t="s">
        <v>121</v>
      </c>
      <c r="CO3" s="168" t="s">
        <v>121</v>
      </c>
      <c r="CP3" s="168" t="s">
        <v>122</v>
      </c>
      <c r="CQ3" s="170" t="s">
        <v>122</v>
      </c>
      <c r="CR3" s="168" t="s">
        <v>117</v>
      </c>
      <c r="CS3" s="168" t="s">
        <v>117</v>
      </c>
      <c r="CT3" s="168" t="s">
        <v>121</v>
      </c>
      <c r="CU3" s="168" t="s">
        <v>121</v>
      </c>
      <c r="CV3" s="168" t="s">
        <v>122</v>
      </c>
      <c r="CW3" s="168" t="s">
        <v>122</v>
      </c>
      <c r="CX3" s="123"/>
      <c r="CY3" s="9" t="s">
        <v>307</v>
      </c>
      <c r="CZ3" s="9" t="s">
        <v>308</v>
      </c>
      <c r="DA3" s="168" t="s">
        <v>105</v>
      </c>
      <c r="DB3" s="168"/>
      <c r="DC3" s="168"/>
      <c r="DD3" s="168" t="s">
        <v>104</v>
      </c>
      <c r="DE3" s="168"/>
      <c r="DF3" s="168"/>
      <c r="DG3" s="168" t="s">
        <v>108</v>
      </c>
      <c r="DH3" s="168"/>
      <c r="DI3" s="170"/>
      <c r="DJ3" s="168" t="s">
        <v>105</v>
      </c>
      <c r="DK3" s="168"/>
      <c r="DL3" s="168"/>
      <c r="DM3" s="168" t="s">
        <v>104</v>
      </c>
      <c r="DN3" s="168"/>
      <c r="DO3" s="168"/>
      <c r="DP3" s="168" t="s">
        <v>108</v>
      </c>
      <c r="DQ3" s="168"/>
      <c r="DR3" s="170"/>
      <c r="DS3" s="123"/>
      <c r="DT3" s="10" t="s">
        <v>80</v>
      </c>
      <c r="DU3" s="10" t="s">
        <v>81</v>
      </c>
      <c r="DV3" s="41" t="s">
        <v>82</v>
      </c>
      <c r="DW3" s="46" t="s">
        <v>80</v>
      </c>
      <c r="DX3" s="10" t="s">
        <v>81</v>
      </c>
      <c r="DY3" s="41" t="s">
        <v>82</v>
      </c>
      <c r="DZ3" s="46" t="s">
        <v>80</v>
      </c>
      <c r="EA3" s="10" t="s">
        <v>81</v>
      </c>
      <c r="EB3" s="41" t="s">
        <v>82</v>
      </c>
      <c r="EC3" s="123"/>
      <c r="ED3" s="10" t="s">
        <v>316</v>
      </c>
      <c r="EE3" s="10"/>
      <c r="EF3" s="41"/>
      <c r="EG3" s="46" t="s">
        <v>315</v>
      </c>
      <c r="EH3" s="10"/>
      <c r="EI3" s="41"/>
      <c r="EJ3" s="46" t="s">
        <v>315</v>
      </c>
      <c r="EK3" s="10"/>
      <c r="EL3" s="196"/>
      <c r="EM3" s="10" t="s">
        <v>317</v>
      </c>
      <c r="EN3" s="10"/>
      <c r="EO3" s="41"/>
      <c r="EP3" s="46" t="s">
        <v>314</v>
      </c>
      <c r="EQ3" s="10"/>
      <c r="ER3" s="41"/>
      <c r="ES3" s="46" t="s">
        <v>314</v>
      </c>
      <c r="ET3" s="10"/>
      <c r="EU3" s="196"/>
    </row>
    <row r="4" spans="1:151" ht="19.25" customHeight="1" x14ac:dyDescent="0.25">
      <c r="A4" s="24" t="s">
        <v>75</v>
      </c>
      <c r="B4" s="25"/>
      <c r="C4" s="25"/>
      <c r="D4" s="25"/>
      <c r="E4" s="25"/>
      <c r="F4" s="25"/>
      <c r="G4" s="25"/>
      <c r="H4" s="22"/>
      <c r="I4" s="23"/>
      <c r="J4" s="9"/>
      <c r="K4" s="9" t="s">
        <v>128</v>
      </c>
      <c r="L4" s="9" t="s">
        <v>130</v>
      </c>
      <c r="M4" s="9" t="s">
        <v>130</v>
      </c>
      <c r="N4" s="9"/>
      <c r="O4" s="10"/>
      <c r="P4" s="10"/>
      <c r="Q4" s="10"/>
      <c r="R4" s="10"/>
      <c r="S4" s="10"/>
      <c r="T4" s="10"/>
      <c r="U4" s="17"/>
      <c r="V4" s="103" t="s">
        <v>186</v>
      </c>
      <c r="W4" s="103"/>
      <c r="X4" s="100"/>
      <c r="Y4" s="100"/>
      <c r="Z4" s="100"/>
      <c r="AA4" s="100"/>
      <c r="AB4" s="100"/>
      <c r="AC4" s="100"/>
      <c r="AD4" s="100"/>
      <c r="AE4" s="100"/>
      <c r="AF4" s="100"/>
      <c r="AG4" s="100"/>
      <c r="AH4" s="100"/>
      <c r="AI4" s="100"/>
      <c r="AJ4" s="17"/>
      <c r="AK4" s="10"/>
      <c r="AL4" s="10" t="s">
        <v>88</v>
      </c>
      <c r="AM4" s="10"/>
      <c r="AN4" s="10"/>
      <c r="AO4" s="232">
        <v>-0.5</v>
      </c>
      <c r="AP4" s="10"/>
      <c r="AQ4" s="10"/>
      <c r="AR4" s="10"/>
      <c r="AS4" s="10"/>
      <c r="AT4" s="10"/>
      <c r="AU4" s="10"/>
      <c r="AV4" s="10"/>
      <c r="AW4" s="10"/>
      <c r="AX4" s="10"/>
      <c r="AY4" s="10"/>
      <c r="AZ4" s="10"/>
      <c r="BA4" s="10"/>
      <c r="BB4" s="10"/>
      <c r="BC4" s="17"/>
      <c r="BD4" s="9"/>
      <c r="BE4" s="9"/>
      <c r="BF4" s="9"/>
      <c r="BG4" s="46"/>
      <c r="BH4" s="10"/>
      <c r="BI4" s="10"/>
      <c r="BJ4" s="46"/>
      <c r="BK4" s="10"/>
      <c r="BL4" s="10"/>
      <c r="BM4" s="46"/>
      <c r="BN4" s="10"/>
      <c r="BO4" s="10"/>
      <c r="BP4" s="123"/>
      <c r="BQ4" s="124">
        <v>0.88480000000000003</v>
      </c>
      <c r="BR4" s="124">
        <v>0.94579999999999997</v>
      </c>
      <c r="BS4" s="124">
        <v>0.97699999999999998</v>
      </c>
      <c r="BT4" s="46"/>
      <c r="BU4" s="10"/>
      <c r="BV4" s="10"/>
      <c r="BW4" s="46"/>
      <c r="BX4" s="10"/>
      <c r="BY4" s="10"/>
      <c r="BZ4" s="46"/>
      <c r="CA4" s="10"/>
      <c r="CB4" s="10"/>
      <c r="CC4" s="123"/>
      <c r="CD4" s="124">
        <v>0.68</v>
      </c>
      <c r="CE4" s="167">
        <v>0.32</v>
      </c>
      <c r="CF4" s="168" t="s">
        <v>281</v>
      </c>
      <c r="CG4" s="168" t="s">
        <v>283</v>
      </c>
      <c r="CH4" s="168" t="s">
        <v>281</v>
      </c>
      <c r="CI4" s="168" t="s">
        <v>283</v>
      </c>
      <c r="CJ4" s="168" t="s">
        <v>281</v>
      </c>
      <c r="CK4" s="170" t="s">
        <v>283</v>
      </c>
      <c r="CL4" s="168" t="s">
        <v>281</v>
      </c>
      <c r="CM4" s="168" t="s">
        <v>283</v>
      </c>
      <c r="CN4" s="168" t="s">
        <v>281</v>
      </c>
      <c r="CO4" s="168" t="s">
        <v>283</v>
      </c>
      <c r="CP4" s="168" t="s">
        <v>281</v>
      </c>
      <c r="CQ4" s="170" t="s">
        <v>283</v>
      </c>
      <c r="CR4" s="168" t="s">
        <v>281</v>
      </c>
      <c r="CS4" s="168" t="s">
        <v>283</v>
      </c>
      <c r="CT4" s="168" t="s">
        <v>281</v>
      </c>
      <c r="CU4" s="168" t="s">
        <v>283</v>
      </c>
      <c r="CV4" s="168" t="s">
        <v>281</v>
      </c>
      <c r="CW4" s="168" t="s">
        <v>283</v>
      </c>
      <c r="CX4" s="123"/>
      <c r="CY4" s="124" t="s">
        <v>297</v>
      </c>
      <c r="CZ4" s="124" t="s">
        <v>310</v>
      </c>
      <c r="DA4" s="168" t="s">
        <v>117</v>
      </c>
      <c r="DB4" s="168" t="s">
        <v>121</v>
      </c>
      <c r="DC4" s="168" t="s">
        <v>122</v>
      </c>
      <c r="DD4" s="168" t="s">
        <v>117</v>
      </c>
      <c r="DE4" s="168" t="s">
        <v>121</v>
      </c>
      <c r="DF4" s="168" t="s">
        <v>122</v>
      </c>
      <c r="DG4" s="168" t="s">
        <v>117</v>
      </c>
      <c r="DH4" s="168" t="s">
        <v>121</v>
      </c>
      <c r="DI4" s="170" t="s">
        <v>122</v>
      </c>
      <c r="DJ4" s="168" t="s">
        <v>117</v>
      </c>
      <c r="DK4" s="168" t="s">
        <v>121</v>
      </c>
      <c r="DL4" s="168" t="s">
        <v>122</v>
      </c>
      <c r="DM4" s="168" t="s">
        <v>117</v>
      </c>
      <c r="DN4" s="168" t="s">
        <v>121</v>
      </c>
      <c r="DO4" s="168" t="s">
        <v>122</v>
      </c>
      <c r="DP4" s="168" t="s">
        <v>117</v>
      </c>
      <c r="DQ4" s="168" t="s">
        <v>121</v>
      </c>
      <c r="DR4" s="170" t="s">
        <v>122</v>
      </c>
      <c r="DS4" s="123"/>
      <c r="DT4" s="10"/>
      <c r="DU4" s="10"/>
      <c r="DV4" s="10"/>
      <c r="DW4" s="46"/>
      <c r="DX4" s="10"/>
      <c r="DY4" s="41"/>
      <c r="DZ4" s="53"/>
      <c r="EA4" s="41"/>
      <c r="EB4" s="41"/>
      <c r="EC4" s="123"/>
      <c r="ED4" s="10" t="s">
        <v>80</v>
      </c>
      <c r="EE4" s="10" t="s">
        <v>81</v>
      </c>
      <c r="EF4" s="41" t="s">
        <v>82</v>
      </c>
      <c r="EG4" s="46" t="s">
        <v>80</v>
      </c>
      <c r="EH4" s="10" t="s">
        <v>81</v>
      </c>
      <c r="EI4" s="41" t="s">
        <v>82</v>
      </c>
      <c r="EJ4" s="46" t="s">
        <v>80</v>
      </c>
      <c r="EK4" s="10" t="s">
        <v>81</v>
      </c>
      <c r="EL4" s="196" t="s">
        <v>82</v>
      </c>
      <c r="EM4" s="10" t="s">
        <v>80</v>
      </c>
      <c r="EN4" s="10" t="s">
        <v>81</v>
      </c>
      <c r="EO4" s="41" t="s">
        <v>82</v>
      </c>
      <c r="EP4" s="46" t="s">
        <v>80</v>
      </c>
      <c r="EQ4" s="10" t="s">
        <v>81</v>
      </c>
      <c r="ER4" s="41" t="s">
        <v>82</v>
      </c>
      <c r="ES4" s="46" t="s">
        <v>80</v>
      </c>
      <c r="ET4" s="10" t="s">
        <v>81</v>
      </c>
      <c r="EU4" s="196" t="s">
        <v>82</v>
      </c>
    </row>
    <row r="5" spans="1:151" x14ac:dyDescent="0.2">
      <c r="A5" s="3" t="s">
        <v>4</v>
      </c>
      <c r="B5">
        <v>1168</v>
      </c>
      <c r="C5">
        <v>23</v>
      </c>
      <c r="D5">
        <v>1.67</v>
      </c>
      <c r="E5">
        <v>0.13</v>
      </c>
      <c r="F5" t="s">
        <v>7</v>
      </c>
      <c r="G5" t="s">
        <v>124</v>
      </c>
      <c r="H5" s="20"/>
      <c r="I5" s="21"/>
      <c r="J5">
        <v>152</v>
      </c>
      <c r="K5" s="94">
        <f t="shared" ref="K5:K22" si="0" xml:space="preserve"> 0.0019 * 18.445</f>
        <v>3.50455E-2</v>
      </c>
      <c r="L5" s="97">
        <f xml:space="preserve"> 3.69 * 0.0171</f>
        <v>6.3099000000000002E-2</v>
      </c>
      <c r="M5" s="94">
        <f xml:space="preserve"> 3.69 * 0.0323</f>
        <v>0.119187</v>
      </c>
      <c r="N5">
        <v>1.67</v>
      </c>
      <c r="O5" s="27">
        <f xml:space="preserve"> J5 * K5 * N5</f>
        <v>8.8959497199999991</v>
      </c>
      <c r="P5" s="27">
        <f xml:space="preserve"> J5 * L5 * N5</f>
        <v>16.01705016</v>
      </c>
      <c r="Q5" s="27">
        <f xml:space="preserve"> J5 * M5 * N5</f>
        <v>30.254428079999997</v>
      </c>
      <c r="R5" s="27">
        <f xml:space="preserve"> SUM(O5:O22)</f>
        <v>177.02463323999999</v>
      </c>
      <c r="S5" s="27">
        <f xml:space="preserve"> SUM(P5:P22)</f>
        <v>318.73071672000009</v>
      </c>
      <c r="T5" s="27">
        <f xml:space="preserve"> SUM(Q5:Q22)</f>
        <v>602.04690935999986</v>
      </c>
      <c r="U5" s="18"/>
      <c r="V5">
        <v>2.3999999999999998E-3</v>
      </c>
      <c r="W5">
        <v>0.99760000000000004</v>
      </c>
      <c r="X5" s="94">
        <f xml:space="preserve"> O5 * V5</f>
        <v>2.1350279327999995E-2</v>
      </c>
      <c r="Y5" s="94">
        <f xml:space="preserve"> P5 * V5</f>
        <v>3.8440920383999995E-2</v>
      </c>
      <c r="Z5" s="94">
        <f xml:space="preserve"> Q5 * V5</f>
        <v>7.2610627391999985E-2</v>
      </c>
      <c r="AA5" s="94">
        <f xml:space="preserve"> O5 * W5</f>
        <v>8.8745994406720001</v>
      </c>
      <c r="AB5" s="94">
        <f xml:space="preserve"> P5 * W5</f>
        <v>15.978609239616</v>
      </c>
      <c r="AC5" s="94">
        <f xml:space="preserve"> Q5 * W5</f>
        <v>30.181817452607998</v>
      </c>
      <c r="AD5" s="27">
        <f xml:space="preserve"> R5 * V5</f>
        <v>0.42485911977599994</v>
      </c>
      <c r="AE5" s="27">
        <f xml:space="preserve"> S5 * V5</f>
        <v>0.76495372012800011</v>
      </c>
      <c r="AF5" s="27">
        <f xml:space="preserve"> T5 * V5</f>
        <v>1.4449125824639995</v>
      </c>
      <c r="AG5" s="27">
        <f xml:space="preserve"> R5 * W5</f>
        <v>176.599774120224</v>
      </c>
      <c r="AH5" s="27">
        <f xml:space="preserve"> S5 * W5</f>
        <v>317.96576299987208</v>
      </c>
      <c r="AI5" s="27">
        <f xml:space="preserve"> T5 * W5</f>
        <v>600.60199677753587</v>
      </c>
      <c r="AJ5" s="18"/>
      <c r="AK5">
        <v>160</v>
      </c>
      <c r="AL5" s="34">
        <f>$AK5/8760</f>
        <v>1.8264840182648401E-2</v>
      </c>
      <c r="AM5" s="34">
        <f t="shared" ref="AM5:AM22" si="1">1- AL5</f>
        <v>0.9817351598173516</v>
      </c>
      <c r="AN5" s="94">
        <f xml:space="preserve"> AA5*AL5</f>
        <v>0.16209314046889498</v>
      </c>
      <c r="AO5" s="94">
        <f xml:space="preserve"> AN5 / 2</f>
        <v>8.1046570234447488E-2</v>
      </c>
      <c r="AP5" s="94">
        <f xml:space="preserve"> AA5*AM5 + AO5</f>
        <v>8.7935528704375514</v>
      </c>
      <c r="AQ5" s="27">
        <f xml:space="preserve"> SUM(AO5:AO22)</f>
        <v>0.92529100254150654</v>
      </c>
      <c r="AR5" s="27">
        <f xml:space="preserve"> SUM(AP5:AP22)</f>
        <v>175.67448311768251</v>
      </c>
      <c r="AS5" s="94">
        <f xml:space="preserve"> AB5 * AL5</f>
        <v>0.29184674410257533</v>
      </c>
      <c r="AT5" s="94">
        <f xml:space="preserve"> AS5 / 2</f>
        <v>0.14592337205128766</v>
      </c>
      <c r="AU5" s="94">
        <f xml:space="preserve"> AB5 * AM5 + AT5</f>
        <v>15.832685867564713</v>
      </c>
      <c r="AV5" s="27">
        <f xml:space="preserve"> SUM(AT5:AT23)</f>
        <v>1.6659752883927039</v>
      </c>
      <c r="AW5" s="27">
        <f xml:space="preserve"> SUM(AU5:AU23)</f>
        <v>316.29978771147927</v>
      </c>
      <c r="AX5" s="94">
        <f xml:space="preserve"> AC5 * AL5</f>
        <v>0.55126607219375334</v>
      </c>
      <c r="AY5" s="94">
        <f xml:space="preserve"> AX5 / 2</f>
        <v>0.27563303609687667</v>
      </c>
      <c r="AZ5" s="27">
        <f xml:space="preserve"> AC5 * AM5 + AY5</f>
        <v>29.90618441651112</v>
      </c>
      <c r="BA5" s="27">
        <f xml:space="preserve"> SUM(AY5:AY22)</f>
        <v>3.1468422114084409</v>
      </c>
      <c r="BB5" s="27">
        <f xml:space="preserve"> SUM(AZ5:AZ22)</f>
        <v>597.45515456612759</v>
      </c>
      <c r="BC5" s="18"/>
      <c r="BD5" s="34">
        <v>0.1152</v>
      </c>
      <c r="BE5" s="34">
        <v>5.4199999999999998E-2</v>
      </c>
      <c r="BF5">
        <v>2.3E-2</v>
      </c>
      <c r="BG5" s="47">
        <f xml:space="preserve"> AR5 * BD5</f>
        <v>20.237700455157025</v>
      </c>
      <c r="BH5" s="47">
        <f xml:space="preserve"> AR5 * BE5</f>
        <v>9.5215569849783925</v>
      </c>
      <c r="BI5" s="47">
        <f xml:space="preserve"> AR5 * BF5</f>
        <v>4.0405131117066979</v>
      </c>
      <c r="BJ5" s="47">
        <f xml:space="preserve"> AW5 * BD5</f>
        <v>36.437735544362411</v>
      </c>
      <c r="BK5" s="47">
        <f xml:space="preserve"> AW5 * BE5</f>
        <v>17.143448493962175</v>
      </c>
      <c r="BL5" s="47">
        <f xml:space="preserve"> AW5 * BF5</f>
        <v>7.2748951173640233</v>
      </c>
      <c r="BM5" s="47">
        <f xml:space="preserve"> BB5 * BD5</f>
        <v>68.826833806017902</v>
      </c>
      <c r="BN5" s="47">
        <f xml:space="preserve"> BB5 * BE5</f>
        <v>32.382069377484115</v>
      </c>
      <c r="BO5" s="47">
        <f xml:space="preserve"> BB5 * BF5</f>
        <v>13.741468555020933</v>
      </c>
      <c r="BQ5" s="34">
        <f xml:space="preserve"> 1 - BD5</f>
        <v>0.88480000000000003</v>
      </c>
      <c r="BR5" s="34">
        <f xml:space="preserve"> 1 - BE5</f>
        <v>0.94579999999999997</v>
      </c>
      <c r="BS5">
        <f xml:space="preserve"> 1 - BF5</f>
        <v>0.97699999999999998</v>
      </c>
      <c r="BT5" s="47">
        <f xml:space="preserve"> AR5 * BQ5</f>
        <v>155.4367826625255</v>
      </c>
      <c r="BU5" s="27">
        <f xml:space="preserve"> AR5 * BR5</f>
        <v>166.15292613270412</v>
      </c>
      <c r="BV5" s="27">
        <f xml:space="preserve"> AR5 * BS5</f>
        <v>171.63397000597581</v>
      </c>
      <c r="BW5" s="47">
        <f xml:space="preserve"> AW5 * BQ5</f>
        <v>279.86205216711687</v>
      </c>
      <c r="BX5" s="27">
        <f xml:space="preserve"> AW5 * BR5</f>
        <v>299.15633921751709</v>
      </c>
      <c r="BY5" s="27">
        <f xml:space="preserve"> AW5 * BS5</f>
        <v>309.02489259411522</v>
      </c>
      <c r="BZ5" s="47">
        <f xml:space="preserve"> BB5 * BQ5</f>
        <v>528.62832076010966</v>
      </c>
      <c r="CA5" s="27">
        <f xml:space="preserve"> BB5 * BR5</f>
        <v>565.0730851886434</v>
      </c>
      <c r="CB5" s="27">
        <f xml:space="preserve"> BB5 * BS5</f>
        <v>583.71368601110669</v>
      </c>
      <c r="CD5">
        <f xml:space="preserve"> 1 - 0.32</f>
        <v>0.67999999999999994</v>
      </c>
      <c r="CE5">
        <f>1-0.68</f>
        <v>0.31999999999999995</v>
      </c>
      <c r="CF5" s="27">
        <f xml:space="preserve"> BT5 * CD5</f>
        <v>105.69701221051733</v>
      </c>
      <c r="CG5" s="27">
        <f xml:space="preserve"> BT5 * CE5</f>
        <v>49.739770452008152</v>
      </c>
      <c r="CH5" s="27">
        <f xml:space="preserve"> BU5 * CD5</f>
        <v>112.98398977023879</v>
      </c>
      <c r="CI5" s="27">
        <f xml:space="preserve"> BU5 * CE5</f>
        <v>53.16893636246531</v>
      </c>
      <c r="CJ5" s="27">
        <f xml:space="preserve"> BV5 * CD5</f>
        <v>116.71109960406353</v>
      </c>
      <c r="CK5" s="27">
        <f xml:space="preserve"> BV5 * CE5</f>
        <v>54.922870401912249</v>
      </c>
      <c r="CL5" s="27">
        <f xml:space="preserve"> BW5 * CD5</f>
        <v>190.30619547363946</v>
      </c>
      <c r="CM5" s="27">
        <f xml:space="preserve"> BW5 * CE5</f>
        <v>89.555856693477381</v>
      </c>
      <c r="CN5" s="27">
        <f xml:space="preserve"> BX5 * CD5</f>
        <v>203.42631066791159</v>
      </c>
      <c r="CO5" s="27">
        <f xml:space="preserve"> BX5 * CE5</f>
        <v>95.73002854960545</v>
      </c>
      <c r="CP5" s="27">
        <f xml:space="preserve"> BY5 * CD5</f>
        <v>210.13692696399832</v>
      </c>
      <c r="CQ5" s="27">
        <f xml:space="preserve"> BY5 * CE5</f>
        <v>98.887965630116852</v>
      </c>
      <c r="CR5" s="27">
        <f xml:space="preserve"> BZ5 * CD5</f>
        <v>359.46725811687452</v>
      </c>
      <c r="CS5" s="27">
        <f xml:space="preserve"> BZ5 * CE5</f>
        <v>169.16106264323506</v>
      </c>
      <c r="CT5" s="27">
        <f xml:space="preserve"> CA5 * CD5</f>
        <v>384.2496979282775</v>
      </c>
      <c r="CU5" s="27">
        <f xml:space="preserve"> CA5 * CE5</f>
        <v>180.82338726036585</v>
      </c>
      <c r="CV5" s="27">
        <f xml:space="preserve"> CB5 * CD5</f>
        <v>396.92530648755252</v>
      </c>
      <c r="CW5" s="27">
        <f xml:space="preserve"> CB5 * CE5</f>
        <v>186.78837952355411</v>
      </c>
      <c r="CY5">
        <f xml:space="preserve"> 1 - 0.01</f>
        <v>0.99</v>
      </c>
      <c r="CZ5">
        <v>0.75</v>
      </c>
      <c r="DA5" s="27">
        <f xml:space="preserve"> CF5 * CY5</f>
        <v>104.64004208841216</v>
      </c>
      <c r="DB5" s="27">
        <f xml:space="preserve"> CH5 * CY5</f>
        <v>111.85414987253641</v>
      </c>
      <c r="DC5" s="27">
        <f xml:space="preserve"> CJ5 * CY5</f>
        <v>115.5439886080229</v>
      </c>
      <c r="DD5" s="27">
        <f xml:space="preserve"> CL5 * CY5</f>
        <v>188.40313351890308</v>
      </c>
      <c r="DE5" s="27">
        <f xml:space="preserve"> CN5 * CY5</f>
        <v>201.39204756123249</v>
      </c>
      <c r="DF5" s="27">
        <f xml:space="preserve"> CP5 * CY5</f>
        <v>208.03555769435835</v>
      </c>
      <c r="DG5" s="27">
        <f xml:space="preserve"> CR5 * CY5</f>
        <v>355.87258553570575</v>
      </c>
      <c r="DH5" s="27">
        <f xml:space="preserve"> CT5 * CY5</f>
        <v>380.40720094899473</v>
      </c>
      <c r="DI5" s="27">
        <f xml:space="preserve"> CV5 * CY5</f>
        <v>392.95605342267697</v>
      </c>
      <c r="DJ5" s="27">
        <f xml:space="preserve"> CF5 * CZ5</f>
        <v>79.272759157888004</v>
      </c>
      <c r="DK5" s="27">
        <f xml:space="preserve"> CH5 * CZ5</f>
        <v>84.737992327679095</v>
      </c>
      <c r="DL5" s="27">
        <f xml:space="preserve"> CJ5 * CZ5</f>
        <v>87.533324703047654</v>
      </c>
      <c r="DM5" s="27">
        <f xml:space="preserve"> CL5 * CZ5</f>
        <v>142.72964660522959</v>
      </c>
      <c r="DN5" s="27">
        <f xml:space="preserve"> CN5 * CZ5</f>
        <v>152.5697330009337</v>
      </c>
      <c r="DO5" s="27">
        <f xml:space="preserve"> CP5 * CZ5</f>
        <v>157.60269522299873</v>
      </c>
      <c r="DP5" s="27">
        <f xml:space="preserve"> CR5 * CZ5</f>
        <v>269.60044358765589</v>
      </c>
      <c r="DQ5" s="27">
        <f xml:space="preserve"> CT5 * CZ5</f>
        <v>288.18727344620811</v>
      </c>
      <c r="DR5" s="27">
        <f xml:space="preserve"> CV5 * CZ5</f>
        <v>297.6939798656644</v>
      </c>
      <c r="DS5" s="121"/>
      <c r="DT5" s="27">
        <f>AQ5 + BG5 + AD5</f>
        <v>21.58785057747453</v>
      </c>
      <c r="DU5" s="27">
        <f>AQ5 + BH5 + AD5</f>
        <v>10.871707107295899</v>
      </c>
      <c r="DV5" s="27">
        <f>AQ5 + BI5 + AD5</f>
        <v>5.3906632340242044</v>
      </c>
      <c r="DW5" s="27">
        <f>AV5 + BJ5 +AE5</f>
        <v>38.868664552883111</v>
      </c>
      <c r="DX5" s="27">
        <f xml:space="preserve"> AV5 + BK5 +AE5</f>
        <v>19.574377502482882</v>
      </c>
      <c r="DY5" s="27">
        <f>AV5 +BL5 +AE5</f>
        <v>9.7058241258847264</v>
      </c>
      <c r="DZ5" s="27">
        <f xml:space="preserve"> BA5 + BM5 + AF5</f>
        <v>73.418588599890342</v>
      </c>
      <c r="EA5" s="27">
        <f xml:space="preserve"> BA5 + BN5 + AF5</f>
        <v>36.973824171356554</v>
      </c>
      <c r="EB5" s="27">
        <f>BA5 + BO5 +AF5</f>
        <v>18.333223348893373</v>
      </c>
      <c r="EC5" s="121"/>
      <c r="ED5" s="27">
        <f xml:space="preserve"> DJ5 + DT5</f>
        <v>100.86060973536253</v>
      </c>
      <c r="EE5" s="27">
        <f xml:space="preserve"> DK5 + DU5</f>
        <v>95.609699434974999</v>
      </c>
      <c r="EF5" s="27">
        <f>DL5 + DV5</f>
        <v>92.923987937071857</v>
      </c>
      <c r="EG5" s="47">
        <f t="shared" ref="EG5:EL5" si="2" xml:space="preserve"> DM5 + DW5</f>
        <v>181.59831115811269</v>
      </c>
      <c r="EH5" s="27">
        <f t="shared" si="2"/>
        <v>172.14411050341658</v>
      </c>
      <c r="EI5" s="42">
        <f t="shared" si="2"/>
        <v>167.30851934888346</v>
      </c>
      <c r="EJ5" s="54">
        <f t="shared" si="2"/>
        <v>343.01903218754626</v>
      </c>
      <c r="EK5" s="42">
        <f t="shared" si="2"/>
        <v>325.16109761756468</v>
      </c>
      <c r="EL5" s="197">
        <f t="shared" si="2"/>
        <v>316.0272032145578</v>
      </c>
      <c r="EM5" s="27">
        <f xml:space="preserve"> DT5 + DA5</f>
        <v>126.22789266588669</v>
      </c>
      <c r="EN5" s="27">
        <f xml:space="preserve"> DB5 + DU5</f>
        <v>122.72585697983232</v>
      </c>
      <c r="EO5" s="27">
        <f xml:space="preserve"> DV5 + DC5</f>
        <v>120.9346518420471</v>
      </c>
      <c r="EP5" s="47">
        <f xml:space="preserve"> DD5 + DW5</f>
        <v>227.27179807178618</v>
      </c>
      <c r="EQ5" s="27">
        <f xml:space="preserve"> DE5 + DX5</f>
        <v>220.96642506371538</v>
      </c>
      <c r="ER5" s="42">
        <f xml:space="preserve"> DF5 + DY5</f>
        <v>217.74138182024308</v>
      </c>
      <c r="ES5" s="54">
        <f xml:space="preserve"> DG5 + DZ5</f>
        <v>429.29117413559607</v>
      </c>
      <c r="ET5" s="42">
        <f xml:space="preserve"> DH5 +EA5</f>
        <v>417.3810251203513</v>
      </c>
      <c r="EU5" s="197">
        <f xml:space="preserve"> DI5 + EB5</f>
        <v>411.28927677157037</v>
      </c>
    </row>
    <row r="6" spans="1:151" x14ac:dyDescent="0.2">
      <c r="A6" s="3" t="s">
        <v>8</v>
      </c>
      <c r="B6">
        <v>1128</v>
      </c>
      <c r="C6">
        <v>41</v>
      </c>
      <c r="D6">
        <v>2.71</v>
      </c>
      <c r="E6">
        <v>0.65</v>
      </c>
      <c r="F6" t="s">
        <v>13</v>
      </c>
      <c r="G6" t="s">
        <v>11</v>
      </c>
      <c r="H6" s="20"/>
      <c r="I6" s="21"/>
      <c r="J6">
        <v>798</v>
      </c>
      <c r="K6" s="94">
        <f t="shared" si="0"/>
        <v>3.50455E-2</v>
      </c>
      <c r="L6" s="97">
        <f t="shared" ref="L6:L22" si="3" xml:space="preserve"> 3.69 * 0.0171</f>
        <v>6.3099000000000002E-2</v>
      </c>
      <c r="M6" s="94">
        <f t="shared" ref="M6:M22" si="4" xml:space="preserve"> 3.69 * 0.0323</f>
        <v>0.119187</v>
      </c>
      <c r="N6">
        <v>0.65</v>
      </c>
      <c r="O6" s="27">
        <f t="shared" ref="O6:O22" si="5" xml:space="preserve"> J6 * K6 * N6</f>
        <v>18.17810085</v>
      </c>
      <c r="P6" s="27">
        <f t="shared" ref="P6:P22" si="6" xml:space="preserve"> J6 * L6 * N6</f>
        <v>32.729451300000001</v>
      </c>
      <c r="Q6" s="27">
        <f t="shared" ref="Q6:Q22" si="7" xml:space="preserve"> J6 * M6 * N6</f>
        <v>61.822296900000005</v>
      </c>
      <c r="R6" s="27"/>
      <c r="S6" s="27"/>
      <c r="T6" s="27"/>
      <c r="U6" s="18"/>
      <c r="V6">
        <v>2.3999999999999998E-3</v>
      </c>
      <c r="W6">
        <v>0.99760000000000004</v>
      </c>
      <c r="X6" s="94">
        <f t="shared" ref="X6:X22" si="8" xml:space="preserve"> O6 * V6</f>
        <v>4.3627442039999999E-2</v>
      </c>
      <c r="Y6" s="94">
        <f t="shared" ref="Y6:Y22" si="9" xml:space="preserve"> P6 * V6</f>
        <v>7.8550683119999992E-2</v>
      </c>
      <c r="Z6" s="94">
        <f t="shared" ref="Z6:Z22" si="10" xml:space="preserve"> Q6 * V6</f>
        <v>0.14837351256</v>
      </c>
      <c r="AA6" s="94">
        <f t="shared" ref="AA6:AA22" si="11" xml:space="preserve"> O6 * W6</f>
        <v>18.134473407960002</v>
      </c>
      <c r="AB6" s="94">
        <f t="shared" ref="AB6:AB22" si="12" xml:space="preserve"> P6 * W6</f>
        <v>32.650900616880001</v>
      </c>
      <c r="AC6" s="94">
        <f t="shared" ref="AC6:AC22" si="13" xml:space="preserve"> Q6 * W6</f>
        <v>61.673923387440006</v>
      </c>
      <c r="AJ6" s="18"/>
      <c r="AK6">
        <v>0</v>
      </c>
      <c r="AL6" s="34">
        <f t="shared" ref="AL6:AL21" si="14">$AK6/8760</f>
        <v>0</v>
      </c>
      <c r="AM6" s="34">
        <f t="shared" si="1"/>
        <v>1</v>
      </c>
      <c r="AN6" s="94">
        <f t="shared" ref="AN6:AN22" si="15" xml:space="preserve"> AA6*AL6</f>
        <v>0</v>
      </c>
      <c r="AO6" s="94">
        <f t="shared" ref="AO6:AO22" si="16" xml:space="preserve"> AN6 / 2</f>
        <v>0</v>
      </c>
      <c r="AP6" s="94">
        <f t="shared" ref="AP6:AP22" si="17" xml:space="preserve"> AA6*AM6 + AO6</f>
        <v>18.134473407960002</v>
      </c>
      <c r="AQ6" s="27"/>
      <c r="AR6" s="27"/>
      <c r="AS6" s="94">
        <f t="shared" ref="AS6:AS22" si="18" xml:space="preserve"> AB6 * AL6</f>
        <v>0</v>
      </c>
      <c r="AT6" s="94">
        <f t="shared" ref="AT6:AT22" si="19" xml:space="preserve"> AS6 / 2</f>
        <v>0</v>
      </c>
      <c r="AU6" s="94">
        <f t="shared" ref="AU6:AU22" si="20" xml:space="preserve"> AB6 * AM6 + AT6</f>
        <v>32.650900616880001</v>
      </c>
      <c r="AV6" s="27"/>
      <c r="AW6" s="27"/>
      <c r="AX6" s="94">
        <f t="shared" ref="AX6:AX22" si="21" xml:space="preserve"> AC6 * AL6</f>
        <v>0</v>
      </c>
      <c r="AY6" s="94">
        <f t="shared" ref="AY6:AY22" si="22" xml:space="preserve"> AX6 / 2</f>
        <v>0</v>
      </c>
      <c r="AZ6" s="27">
        <f t="shared" ref="AZ6:AZ22" si="23" xml:space="preserve"> AC6 * AM6 + AY6</f>
        <v>61.673923387440006</v>
      </c>
      <c r="BA6" s="27"/>
      <c r="BB6" s="27"/>
      <c r="BC6" s="18"/>
      <c r="BG6" s="3"/>
      <c r="BJ6" s="3"/>
      <c r="BM6" s="3"/>
      <c r="BS6" s="107"/>
      <c r="BV6" s="107"/>
      <c r="BY6" s="107"/>
      <c r="DA6" s="27"/>
      <c r="DB6" s="27"/>
      <c r="DC6" s="27"/>
      <c r="DD6" s="27"/>
      <c r="DE6" s="27"/>
      <c r="DF6" s="27"/>
      <c r="DG6" s="27"/>
      <c r="DH6" s="27"/>
      <c r="DI6" s="27"/>
      <c r="DJ6" s="27"/>
      <c r="DK6" s="27"/>
      <c r="DL6" s="27"/>
      <c r="DM6" s="27"/>
      <c r="DN6" s="27"/>
      <c r="DO6" s="27"/>
      <c r="DP6" s="27"/>
      <c r="DQ6" s="27"/>
      <c r="DR6" s="27"/>
      <c r="DS6" s="121"/>
      <c r="DW6" s="3"/>
      <c r="DY6" s="38"/>
      <c r="DZ6" s="55"/>
      <c r="EA6" s="38"/>
      <c r="EB6" s="38"/>
      <c r="EC6" s="121"/>
      <c r="EG6" s="3"/>
      <c r="EI6" s="38"/>
      <c r="EJ6" s="55"/>
      <c r="EK6" s="38"/>
      <c r="EL6" s="198"/>
      <c r="EP6" s="3"/>
      <c r="ER6" s="38"/>
      <c r="ES6" s="55"/>
      <c r="ET6" s="38"/>
      <c r="EU6" s="198"/>
    </row>
    <row r="7" spans="1:151" x14ac:dyDescent="0.2">
      <c r="A7" s="3" t="s">
        <v>10</v>
      </c>
      <c r="B7">
        <v>1869</v>
      </c>
      <c r="C7">
        <v>704</v>
      </c>
      <c r="D7">
        <v>2.25</v>
      </c>
      <c r="F7" t="s">
        <v>14</v>
      </c>
      <c r="G7" t="s">
        <v>125</v>
      </c>
      <c r="H7" s="20"/>
      <c r="I7" s="21"/>
      <c r="J7">
        <v>704</v>
      </c>
      <c r="K7" s="94">
        <f t="shared" si="0"/>
        <v>3.50455E-2</v>
      </c>
      <c r="L7" s="97">
        <f t="shared" si="3"/>
        <v>6.3099000000000002E-2</v>
      </c>
      <c r="M7" s="94">
        <f t="shared" si="4"/>
        <v>0.119187</v>
      </c>
      <c r="N7">
        <v>2.25</v>
      </c>
      <c r="O7" s="27">
        <f t="shared" si="5"/>
        <v>55.512072000000003</v>
      </c>
      <c r="P7" s="27">
        <f t="shared" si="6"/>
        <v>99.948816000000008</v>
      </c>
      <c r="Q7" s="27">
        <f t="shared" si="7"/>
        <v>188.79220799999999</v>
      </c>
      <c r="R7" s="27"/>
      <c r="S7" s="27"/>
      <c r="T7" s="27"/>
      <c r="U7" s="18"/>
      <c r="V7">
        <v>2.3999999999999998E-3</v>
      </c>
      <c r="W7">
        <v>0.99760000000000004</v>
      </c>
      <c r="X7" s="94">
        <f t="shared" si="8"/>
        <v>0.13322897279999998</v>
      </c>
      <c r="Y7" s="94">
        <f t="shared" si="9"/>
        <v>0.23987715839999998</v>
      </c>
      <c r="Z7" s="94">
        <f t="shared" si="10"/>
        <v>0.45310129919999992</v>
      </c>
      <c r="AA7" s="94">
        <f t="shared" si="11"/>
        <v>55.378843027200006</v>
      </c>
      <c r="AB7" s="94">
        <f t="shared" si="12"/>
        <v>99.708938841600016</v>
      </c>
      <c r="AC7" s="94">
        <f t="shared" si="13"/>
        <v>188.33910670079999</v>
      </c>
      <c r="AJ7" s="18"/>
      <c r="AK7">
        <v>4</v>
      </c>
      <c r="AL7" s="34">
        <f t="shared" si="14"/>
        <v>4.5662100456621003E-4</v>
      </c>
      <c r="AM7" s="34">
        <f t="shared" si="1"/>
        <v>0.99954337899543377</v>
      </c>
      <c r="AN7" s="94">
        <f t="shared" si="15"/>
        <v>2.5287142934794522E-2</v>
      </c>
      <c r="AO7" s="94">
        <f t="shared" si="16"/>
        <v>1.2643571467397261E-2</v>
      </c>
      <c r="AP7" s="94">
        <f t="shared" si="17"/>
        <v>55.366199455732612</v>
      </c>
      <c r="AQ7" s="27"/>
      <c r="AR7" s="27"/>
      <c r="AS7" s="94">
        <f t="shared" si="18"/>
        <v>4.5529195818082201E-2</v>
      </c>
      <c r="AT7" s="94">
        <f t="shared" si="19"/>
        <v>2.27645979090411E-2</v>
      </c>
      <c r="AU7" s="94">
        <f t="shared" si="20"/>
        <v>99.686174243690971</v>
      </c>
      <c r="AV7" s="27"/>
      <c r="AW7" s="27"/>
      <c r="AX7" s="94">
        <f t="shared" si="21"/>
        <v>8.5999592100821906E-2</v>
      </c>
      <c r="AY7" s="94">
        <f t="shared" si="22"/>
        <v>4.2999796050410953E-2</v>
      </c>
      <c r="AZ7" s="27">
        <f t="shared" si="23"/>
        <v>188.29610690474959</v>
      </c>
      <c r="BA7" s="27"/>
      <c r="BB7" s="27"/>
      <c r="BC7" s="18"/>
      <c r="BG7" s="3"/>
      <c r="BJ7" s="3"/>
      <c r="BM7" s="3"/>
      <c r="BS7" s="107"/>
      <c r="BV7" s="107"/>
      <c r="BY7" s="107"/>
      <c r="DA7" s="27"/>
      <c r="DB7" s="27"/>
      <c r="DC7" s="27"/>
      <c r="DD7" s="27"/>
      <c r="DE7" s="27"/>
      <c r="DF7" s="27"/>
      <c r="DG7" s="27"/>
      <c r="DH7" s="27"/>
      <c r="DI7" s="27"/>
      <c r="DJ7" s="27"/>
      <c r="DK7" s="27"/>
      <c r="DL7" s="27"/>
      <c r="DM7" s="27"/>
      <c r="DN7" s="27"/>
      <c r="DO7" s="27"/>
      <c r="DP7" s="27"/>
      <c r="DQ7" s="27"/>
      <c r="DR7" s="27"/>
      <c r="DS7" s="121"/>
      <c r="DW7" s="3"/>
      <c r="DY7" s="38"/>
      <c r="DZ7" s="55"/>
      <c r="EA7" s="38"/>
      <c r="EB7" s="38"/>
      <c r="EC7" s="121"/>
      <c r="EG7" s="3"/>
      <c r="EI7" s="38"/>
      <c r="EJ7" s="55"/>
      <c r="EK7" s="38"/>
      <c r="EL7" s="198"/>
      <c r="EP7" s="3"/>
      <c r="ER7" s="38"/>
      <c r="ES7" s="55"/>
      <c r="ET7" s="38"/>
      <c r="EU7" s="198"/>
    </row>
    <row r="8" spans="1:151" x14ac:dyDescent="0.2">
      <c r="A8" s="3" t="s">
        <v>12</v>
      </c>
      <c r="B8">
        <v>1239</v>
      </c>
      <c r="C8">
        <v>1221</v>
      </c>
      <c r="D8">
        <v>0.17</v>
      </c>
      <c r="F8" t="s">
        <v>15</v>
      </c>
      <c r="G8" t="s">
        <v>126</v>
      </c>
      <c r="H8" s="20"/>
      <c r="I8" s="21"/>
      <c r="J8">
        <v>211</v>
      </c>
      <c r="K8" s="94">
        <f t="shared" si="0"/>
        <v>3.50455E-2</v>
      </c>
      <c r="L8" s="97">
        <f t="shared" si="3"/>
        <v>6.3099000000000002E-2</v>
      </c>
      <c r="M8" s="94">
        <f t="shared" si="4"/>
        <v>0.119187</v>
      </c>
      <c r="N8">
        <v>0.17</v>
      </c>
      <c r="O8" s="27">
        <f t="shared" si="5"/>
        <v>1.2570820850000002</v>
      </c>
      <c r="P8" s="27">
        <f t="shared" si="6"/>
        <v>2.2633611300000003</v>
      </c>
      <c r="Q8" s="27">
        <f t="shared" si="7"/>
        <v>4.27523769</v>
      </c>
      <c r="R8" s="27"/>
      <c r="S8" s="27"/>
      <c r="T8" s="27"/>
      <c r="U8" s="18"/>
      <c r="V8">
        <v>2.3999999999999998E-3</v>
      </c>
      <c r="W8">
        <v>0.99760000000000004</v>
      </c>
      <c r="X8" s="94">
        <f t="shared" si="8"/>
        <v>3.016997004E-3</v>
      </c>
      <c r="Y8" s="94">
        <f t="shared" si="9"/>
        <v>5.4320667119999999E-3</v>
      </c>
      <c r="Z8" s="94">
        <f t="shared" si="10"/>
        <v>1.0260570455999998E-2</v>
      </c>
      <c r="AA8" s="94">
        <f t="shared" si="11"/>
        <v>1.2540650879960002</v>
      </c>
      <c r="AB8" s="94">
        <f t="shared" si="12"/>
        <v>2.2579290632880005</v>
      </c>
      <c r="AC8" s="94">
        <f t="shared" si="13"/>
        <v>4.2649771195440005</v>
      </c>
      <c r="AJ8" s="18"/>
      <c r="AK8">
        <v>266</v>
      </c>
      <c r="AL8" s="34">
        <f t="shared" si="14"/>
        <v>3.0365296803652967E-2</v>
      </c>
      <c r="AM8" s="34">
        <f t="shared" si="1"/>
        <v>0.96963470319634704</v>
      </c>
      <c r="AN8" s="94">
        <f t="shared" si="15"/>
        <v>3.8080058608097725E-2</v>
      </c>
      <c r="AO8" s="94">
        <f t="shared" si="16"/>
        <v>1.9040029304048862E-2</v>
      </c>
      <c r="AP8" s="94">
        <f t="shared" si="17"/>
        <v>1.2350250586919513</v>
      </c>
      <c r="AQ8" s="27"/>
      <c r="AR8" s="27"/>
      <c r="AS8" s="94">
        <f t="shared" si="18"/>
        <v>6.8562686168334261E-2</v>
      </c>
      <c r="AT8" s="94">
        <f t="shared" si="19"/>
        <v>3.428134308416713E-2</v>
      </c>
      <c r="AU8" s="94">
        <f t="shared" si="20"/>
        <v>2.2236477202038336</v>
      </c>
      <c r="AV8" s="27"/>
      <c r="AW8" s="27"/>
      <c r="AX8" s="94">
        <f t="shared" si="21"/>
        <v>0.12950729609574246</v>
      </c>
      <c r="AY8" s="94">
        <f t="shared" si="22"/>
        <v>6.4753648047871232E-2</v>
      </c>
      <c r="AZ8" s="27">
        <f t="shared" si="23"/>
        <v>4.2002234714961286</v>
      </c>
      <c r="BA8" s="27"/>
      <c r="BB8" s="27"/>
      <c r="BC8" s="18"/>
      <c r="BG8" s="3"/>
      <c r="BJ8" s="3"/>
      <c r="BM8" s="3"/>
      <c r="BS8" s="107"/>
      <c r="BV8" s="107"/>
      <c r="BY8" s="107"/>
      <c r="DA8" s="27"/>
      <c r="DB8" s="27"/>
      <c r="DC8" s="27"/>
      <c r="DD8" s="27"/>
      <c r="DE8" s="27"/>
      <c r="DF8" s="27"/>
      <c r="DG8" s="27"/>
      <c r="DH8" s="27"/>
      <c r="DI8" s="27"/>
      <c r="DJ8" s="27"/>
      <c r="DK8" s="27"/>
      <c r="DL8" s="27"/>
      <c r="DM8" s="27"/>
      <c r="DN8" s="27"/>
      <c r="DO8" s="27"/>
      <c r="DP8" s="27"/>
      <c r="DQ8" s="27"/>
      <c r="DR8" s="27"/>
      <c r="DS8" s="121"/>
      <c r="DW8" s="3"/>
      <c r="DY8" s="38"/>
      <c r="DZ8" s="55"/>
      <c r="EA8" s="38"/>
      <c r="EB8" s="38"/>
      <c r="EC8" s="121"/>
      <c r="EG8" s="3"/>
      <c r="EI8" s="38"/>
      <c r="EJ8" s="55"/>
      <c r="EK8" s="38"/>
      <c r="EL8" s="198"/>
      <c r="EP8" s="3"/>
      <c r="ER8" s="38"/>
      <c r="ES8" s="55"/>
      <c r="ET8" s="38"/>
      <c r="EU8" s="198"/>
    </row>
    <row r="9" spans="1:151" x14ac:dyDescent="0.2">
      <c r="A9" s="3" t="s">
        <v>17</v>
      </c>
      <c r="B9">
        <v>1700.5</v>
      </c>
      <c r="C9">
        <v>744</v>
      </c>
      <c r="D9">
        <v>0.74</v>
      </c>
      <c r="F9" t="s">
        <v>18</v>
      </c>
      <c r="G9" t="s">
        <v>126</v>
      </c>
      <c r="H9" s="20"/>
      <c r="I9" s="21"/>
      <c r="J9">
        <v>1258</v>
      </c>
      <c r="K9" s="94">
        <f t="shared" si="0"/>
        <v>3.50455E-2</v>
      </c>
      <c r="L9" s="97">
        <f t="shared" si="3"/>
        <v>6.3099000000000002E-2</v>
      </c>
      <c r="M9" s="94">
        <f t="shared" si="4"/>
        <v>0.119187</v>
      </c>
      <c r="N9">
        <v>0.74</v>
      </c>
      <c r="O9" s="27">
        <f t="shared" si="5"/>
        <v>32.624556860000006</v>
      </c>
      <c r="P9" s="27">
        <f t="shared" si="6"/>
        <v>58.740121079999994</v>
      </c>
      <c r="Q9" s="27">
        <f t="shared" si="7"/>
        <v>110.95356203999999</v>
      </c>
      <c r="R9" s="27"/>
      <c r="S9" s="27"/>
      <c r="T9" s="27"/>
      <c r="U9" s="18"/>
      <c r="V9">
        <v>2.3999999999999998E-3</v>
      </c>
      <c r="W9">
        <v>0.99760000000000004</v>
      </c>
      <c r="X9" s="94">
        <f t="shared" si="8"/>
        <v>7.8298936464000005E-2</v>
      </c>
      <c r="Y9" s="94">
        <f t="shared" si="9"/>
        <v>0.14097629059199998</v>
      </c>
      <c r="Z9" s="94">
        <f t="shared" si="10"/>
        <v>0.26628854889599995</v>
      </c>
      <c r="AA9" s="94">
        <f t="shared" si="11"/>
        <v>32.546257923536004</v>
      </c>
      <c r="AB9" s="94">
        <f t="shared" si="12"/>
        <v>58.599144789407994</v>
      </c>
      <c r="AC9" s="94">
        <f t="shared" si="13"/>
        <v>110.68727349110399</v>
      </c>
      <c r="AJ9" s="18"/>
      <c r="AK9">
        <v>80</v>
      </c>
      <c r="AL9" s="34">
        <f t="shared" si="14"/>
        <v>9.1324200913242004E-3</v>
      </c>
      <c r="AM9" s="34">
        <f t="shared" si="1"/>
        <v>0.9908675799086758</v>
      </c>
      <c r="AN9" s="94">
        <f t="shared" si="15"/>
        <v>0.29722609975831965</v>
      </c>
      <c r="AO9" s="94">
        <f t="shared" si="16"/>
        <v>0.14861304987915983</v>
      </c>
      <c r="AP9" s="94">
        <f t="shared" si="17"/>
        <v>32.397644873656844</v>
      </c>
      <c r="AQ9" s="27"/>
      <c r="AR9" s="27"/>
      <c r="AS9" s="94">
        <f t="shared" si="18"/>
        <v>0.53515200720920542</v>
      </c>
      <c r="AT9" s="94">
        <f t="shared" si="19"/>
        <v>0.26757600360460271</v>
      </c>
      <c r="AU9" s="94">
        <f t="shared" si="20"/>
        <v>58.331568785803391</v>
      </c>
      <c r="AV9" s="27"/>
      <c r="AW9" s="27"/>
      <c r="AX9" s="94">
        <f t="shared" si="21"/>
        <v>1.0108426802840547</v>
      </c>
      <c r="AY9" s="94">
        <f t="shared" si="22"/>
        <v>0.50542134014202733</v>
      </c>
      <c r="AZ9" s="27">
        <f t="shared" si="23"/>
        <v>110.18185215096196</v>
      </c>
      <c r="BA9" s="27"/>
      <c r="BB9" s="27"/>
      <c r="BC9" s="18"/>
      <c r="BG9" s="3"/>
      <c r="BJ9" s="3"/>
      <c r="BM9" s="3"/>
      <c r="BS9" s="107"/>
      <c r="BV9" s="107"/>
      <c r="BY9" s="107"/>
      <c r="DA9" s="27"/>
      <c r="DB9" s="27"/>
      <c r="DC9" s="27"/>
      <c r="DD9" s="27"/>
      <c r="DE9" s="27"/>
      <c r="DF9" s="27"/>
      <c r="DG9" s="27"/>
      <c r="DH9" s="27"/>
      <c r="DI9" s="27"/>
      <c r="DJ9" s="27"/>
      <c r="DK9" s="27"/>
      <c r="DL9" s="27"/>
      <c r="DM9" s="27"/>
      <c r="DN9" s="27"/>
      <c r="DO9" s="27"/>
      <c r="DP9" s="27"/>
      <c r="DQ9" s="27"/>
      <c r="DR9" s="27"/>
      <c r="DS9" s="121"/>
      <c r="DW9" s="3"/>
      <c r="DY9" s="38"/>
      <c r="DZ9" s="55"/>
      <c r="EA9" s="38"/>
      <c r="EB9" s="38"/>
      <c r="EC9" s="121"/>
      <c r="EG9" s="3"/>
      <c r="EI9" s="38"/>
      <c r="EJ9" s="55"/>
      <c r="EK9" s="38"/>
      <c r="EL9" s="198"/>
      <c r="EP9" s="3"/>
      <c r="ER9" s="38"/>
      <c r="ES9" s="55"/>
      <c r="ET9" s="38"/>
      <c r="EU9" s="198"/>
    </row>
    <row r="10" spans="1:151" x14ac:dyDescent="0.2">
      <c r="A10" s="3" t="s">
        <v>19</v>
      </c>
      <c r="B10">
        <v>1688</v>
      </c>
      <c r="C10">
        <v>152.5</v>
      </c>
      <c r="D10">
        <v>1.29</v>
      </c>
      <c r="E10">
        <v>0.35299999999999998</v>
      </c>
      <c r="F10" t="s">
        <v>25</v>
      </c>
      <c r="G10" t="s">
        <v>124</v>
      </c>
      <c r="H10" s="20"/>
      <c r="I10" s="21"/>
      <c r="J10">
        <v>596</v>
      </c>
      <c r="K10" s="94">
        <f t="shared" si="0"/>
        <v>3.50455E-2</v>
      </c>
      <c r="L10" s="97">
        <f t="shared" si="3"/>
        <v>6.3099000000000002E-2</v>
      </c>
      <c r="M10" s="94">
        <f t="shared" si="4"/>
        <v>0.119187</v>
      </c>
      <c r="N10">
        <v>0.35</v>
      </c>
      <c r="O10" s="27">
        <f t="shared" si="5"/>
        <v>7.3104912999999998</v>
      </c>
      <c r="P10" s="27">
        <f t="shared" si="6"/>
        <v>13.1624514</v>
      </c>
      <c r="Q10" s="27">
        <f t="shared" si="7"/>
        <v>24.862408200000001</v>
      </c>
      <c r="R10" s="27"/>
      <c r="S10" s="27"/>
      <c r="T10" s="27"/>
      <c r="U10" s="18"/>
      <c r="V10">
        <v>2.3999999999999998E-3</v>
      </c>
      <c r="W10">
        <v>0.99760000000000004</v>
      </c>
      <c r="X10" s="94">
        <f t="shared" si="8"/>
        <v>1.7545179119999997E-2</v>
      </c>
      <c r="Y10" s="94">
        <f t="shared" si="9"/>
        <v>3.1589883359999994E-2</v>
      </c>
      <c r="Z10" s="94">
        <f t="shared" si="10"/>
        <v>5.966977968E-2</v>
      </c>
      <c r="AA10" s="94">
        <f t="shared" si="11"/>
        <v>7.2929461208799999</v>
      </c>
      <c r="AB10" s="94">
        <f t="shared" si="12"/>
        <v>13.130861516640001</v>
      </c>
      <c r="AC10" s="94">
        <f t="shared" si="13"/>
        <v>24.802738420320001</v>
      </c>
      <c r="AJ10" s="18"/>
      <c r="AK10">
        <v>332</v>
      </c>
      <c r="AL10" s="34">
        <f t="shared" si="14"/>
        <v>3.7899543378995433E-2</v>
      </c>
      <c r="AM10" s="34">
        <f t="shared" si="1"/>
        <v>0.96210045662100452</v>
      </c>
      <c r="AN10" s="94">
        <f t="shared" si="15"/>
        <v>0.27639932786896804</v>
      </c>
      <c r="AO10" s="94">
        <f t="shared" si="16"/>
        <v>0.13819966393448402</v>
      </c>
      <c r="AP10" s="94">
        <f t="shared" si="17"/>
        <v>7.1547464569455155</v>
      </c>
      <c r="AQ10" s="27"/>
      <c r="AR10" s="27"/>
      <c r="AS10" s="94">
        <f t="shared" si="18"/>
        <v>0.49765365565347952</v>
      </c>
      <c r="AT10" s="94">
        <f t="shared" si="19"/>
        <v>0.24882682782673976</v>
      </c>
      <c r="AU10" s="94">
        <f t="shared" si="20"/>
        <v>12.882034688813262</v>
      </c>
      <c r="AV10" s="27"/>
      <c r="AW10" s="27"/>
      <c r="AX10" s="94">
        <f t="shared" si="21"/>
        <v>0.94001246067879451</v>
      </c>
      <c r="AY10" s="94">
        <f t="shared" si="22"/>
        <v>0.47000623033939726</v>
      </c>
      <c r="AZ10" s="27">
        <f t="shared" si="23"/>
        <v>24.332732189980604</v>
      </c>
      <c r="BA10" s="27"/>
      <c r="BB10" s="27"/>
      <c r="BC10" s="18"/>
      <c r="BG10" s="3"/>
      <c r="BJ10" s="3"/>
      <c r="BM10" s="3"/>
      <c r="BS10" s="107"/>
      <c r="BV10" s="107"/>
      <c r="BY10" s="107"/>
      <c r="DA10" s="27"/>
      <c r="DB10" s="27"/>
      <c r="DC10" s="27"/>
      <c r="DD10" s="27"/>
      <c r="DE10" s="27"/>
      <c r="DF10" s="27"/>
      <c r="DG10" s="27"/>
      <c r="DH10" s="27" t="s">
        <v>270</v>
      </c>
      <c r="DI10" s="27"/>
      <c r="DJ10" s="27"/>
      <c r="DK10" s="27"/>
      <c r="DL10" s="27"/>
      <c r="DM10" s="27"/>
      <c r="DN10" s="27"/>
      <c r="DO10" s="27"/>
      <c r="DP10" s="27"/>
      <c r="DQ10" s="27"/>
      <c r="DR10" s="27"/>
      <c r="DS10" s="121"/>
      <c r="DW10" s="3"/>
      <c r="DY10" s="38"/>
      <c r="DZ10" s="55"/>
      <c r="EA10" s="38"/>
      <c r="EB10" s="38"/>
      <c r="EC10" s="121"/>
      <c r="EG10" s="3"/>
      <c r="EI10" s="38"/>
      <c r="EJ10" s="55"/>
      <c r="EK10" s="38"/>
      <c r="EL10" s="198"/>
      <c r="EP10" s="3"/>
      <c r="ER10" s="38"/>
      <c r="ES10" s="55"/>
      <c r="ET10" s="38"/>
      <c r="EU10" s="198"/>
    </row>
    <row r="11" spans="1:151" x14ac:dyDescent="0.2">
      <c r="A11" s="3" t="s">
        <v>20</v>
      </c>
      <c r="B11">
        <v>2122</v>
      </c>
      <c r="C11">
        <v>15</v>
      </c>
      <c r="D11">
        <v>0.24</v>
      </c>
      <c r="E11">
        <v>0.317</v>
      </c>
      <c r="F11" t="s">
        <v>26</v>
      </c>
      <c r="G11" t="s">
        <v>124</v>
      </c>
      <c r="H11" s="20"/>
      <c r="I11" s="21"/>
      <c r="J11">
        <v>673</v>
      </c>
      <c r="K11" s="94">
        <f t="shared" si="0"/>
        <v>3.50455E-2</v>
      </c>
      <c r="L11" s="97">
        <f t="shared" si="3"/>
        <v>6.3099000000000002E-2</v>
      </c>
      <c r="M11" s="94">
        <f t="shared" si="4"/>
        <v>0.119187</v>
      </c>
      <c r="N11">
        <v>0.32</v>
      </c>
      <c r="O11" s="27">
        <f t="shared" si="5"/>
        <v>7.5473988799999994</v>
      </c>
      <c r="P11" s="27">
        <f t="shared" si="6"/>
        <v>13.589000640000002</v>
      </c>
      <c r="Q11" s="27">
        <f t="shared" si="7"/>
        <v>25.668112320000002</v>
      </c>
      <c r="R11" s="27"/>
      <c r="S11" s="27"/>
      <c r="T11" s="27"/>
      <c r="U11" s="18"/>
      <c r="V11">
        <v>2.3999999999999998E-3</v>
      </c>
      <c r="W11">
        <v>0.99760000000000004</v>
      </c>
      <c r="X11" s="94">
        <f t="shared" si="8"/>
        <v>1.8113757311999996E-2</v>
      </c>
      <c r="Y11" s="94">
        <f t="shared" si="9"/>
        <v>3.2613601536E-2</v>
      </c>
      <c r="Z11" s="94">
        <f t="shared" si="10"/>
        <v>6.1603469568000002E-2</v>
      </c>
      <c r="AA11" s="94">
        <f t="shared" si="11"/>
        <v>7.529285122688</v>
      </c>
      <c r="AB11" s="94">
        <f t="shared" si="12"/>
        <v>13.556387038464003</v>
      </c>
      <c r="AC11" s="94">
        <f t="shared" si="13"/>
        <v>25.606508850432004</v>
      </c>
      <c r="AJ11" s="18"/>
      <c r="AK11">
        <v>0</v>
      </c>
      <c r="AL11" s="34">
        <f t="shared" si="14"/>
        <v>0</v>
      </c>
      <c r="AM11" s="34">
        <f t="shared" si="1"/>
        <v>1</v>
      </c>
      <c r="AN11" s="94">
        <f t="shared" si="15"/>
        <v>0</v>
      </c>
      <c r="AO11" s="94">
        <f t="shared" si="16"/>
        <v>0</v>
      </c>
      <c r="AP11" s="94">
        <f t="shared" si="17"/>
        <v>7.529285122688</v>
      </c>
      <c r="AQ11" s="27"/>
      <c r="AR11" s="27"/>
      <c r="AS11" s="94">
        <f t="shared" si="18"/>
        <v>0</v>
      </c>
      <c r="AT11" s="94">
        <f t="shared" si="19"/>
        <v>0</v>
      </c>
      <c r="AU11" s="94">
        <f t="shared" si="20"/>
        <v>13.556387038464003</v>
      </c>
      <c r="AV11" s="27"/>
      <c r="AW11" s="27"/>
      <c r="AX11" s="94">
        <f t="shared" si="21"/>
        <v>0</v>
      </c>
      <c r="AY11" s="94">
        <f t="shared" si="22"/>
        <v>0</v>
      </c>
      <c r="AZ11" s="27">
        <f t="shared" si="23"/>
        <v>25.606508850432004</v>
      </c>
      <c r="BA11" s="27"/>
      <c r="BB11" s="27"/>
      <c r="BC11" s="18"/>
      <c r="BG11" s="3"/>
      <c r="BJ11" s="3"/>
      <c r="BM11" s="3"/>
      <c r="BS11" s="107"/>
      <c r="BV11" s="107"/>
      <c r="BY11" s="107"/>
      <c r="DA11" s="27"/>
      <c r="DB11" s="27"/>
      <c r="DC11" s="27"/>
      <c r="DD11" s="27"/>
      <c r="DE11" s="27"/>
      <c r="DF11" s="27"/>
      <c r="DG11" s="27"/>
      <c r="DH11" s="27"/>
      <c r="DI11" s="27"/>
      <c r="DJ11" s="27"/>
      <c r="DK11" s="27"/>
      <c r="DL11" s="27"/>
      <c r="DM11" s="27"/>
      <c r="DN11" s="27"/>
      <c r="DO11" s="27"/>
      <c r="DP11" s="27"/>
      <c r="DQ11" s="27"/>
      <c r="DR11" s="27"/>
      <c r="DS11" s="121"/>
      <c r="DW11" s="3"/>
      <c r="DY11" s="38"/>
      <c r="DZ11" s="55"/>
      <c r="EA11" s="38"/>
      <c r="EB11" s="38"/>
      <c r="EC11" s="121"/>
      <c r="EG11" s="3"/>
      <c r="EI11" s="38"/>
      <c r="EJ11" s="55"/>
      <c r="EK11" s="38"/>
      <c r="EL11" s="198"/>
      <c r="EP11" s="3"/>
      <c r="ER11" s="38"/>
      <c r="ES11" s="55"/>
      <c r="ET11" s="38"/>
      <c r="EU11" s="198"/>
    </row>
    <row r="12" spans="1:151" x14ac:dyDescent="0.2">
      <c r="A12" s="3" t="s">
        <v>21</v>
      </c>
      <c r="B12">
        <v>2122</v>
      </c>
      <c r="C12">
        <v>15</v>
      </c>
      <c r="D12">
        <v>1.36</v>
      </c>
      <c r="E12">
        <v>0.19</v>
      </c>
      <c r="F12" t="s">
        <v>27</v>
      </c>
      <c r="G12" t="s">
        <v>124</v>
      </c>
      <c r="H12" s="20"/>
      <c r="I12" s="21"/>
      <c r="J12">
        <v>403</v>
      </c>
      <c r="K12" s="94">
        <f t="shared" si="0"/>
        <v>3.50455E-2</v>
      </c>
      <c r="L12" s="97">
        <f t="shared" si="3"/>
        <v>6.3099000000000002E-2</v>
      </c>
      <c r="M12" s="94">
        <f t="shared" si="4"/>
        <v>0.119187</v>
      </c>
      <c r="N12">
        <v>0.19</v>
      </c>
      <c r="O12" s="27">
        <f t="shared" si="5"/>
        <v>2.683433935</v>
      </c>
      <c r="P12" s="27">
        <f t="shared" si="6"/>
        <v>4.8314904299999997</v>
      </c>
      <c r="Q12" s="27">
        <f t="shared" si="7"/>
        <v>9.1261485899999997</v>
      </c>
      <c r="R12" s="27"/>
      <c r="S12" s="27"/>
      <c r="T12" s="27"/>
      <c r="U12" s="18"/>
      <c r="V12">
        <v>2.3999999999999998E-3</v>
      </c>
      <c r="W12">
        <v>0.99760000000000004</v>
      </c>
      <c r="X12" s="94">
        <f t="shared" si="8"/>
        <v>6.4402414439999993E-3</v>
      </c>
      <c r="Y12" s="94">
        <f t="shared" si="9"/>
        <v>1.1595577031999997E-2</v>
      </c>
      <c r="Z12" s="94">
        <f t="shared" si="10"/>
        <v>2.1902756615999996E-2</v>
      </c>
      <c r="AA12" s="94">
        <f t="shared" si="11"/>
        <v>2.6769936935560001</v>
      </c>
      <c r="AB12" s="94">
        <f t="shared" si="12"/>
        <v>4.8198948529679999</v>
      </c>
      <c r="AC12" s="94">
        <f t="shared" si="13"/>
        <v>9.1042458333840006</v>
      </c>
      <c r="AJ12" s="18"/>
      <c r="AK12">
        <v>10</v>
      </c>
      <c r="AL12" s="34">
        <f t="shared" si="14"/>
        <v>1.1415525114155251E-3</v>
      </c>
      <c r="AM12" s="34">
        <f t="shared" si="1"/>
        <v>0.99885844748858443</v>
      </c>
      <c r="AN12" s="94">
        <f t="shared" si="15"/>
        <v>3.0559288739223744E-3</v>
      </c>
      <c r="AO12" s="94">
        <f t="shared" si="16"/>
        <v>1.5279644369611872E-3</v>
      </c>
      <c r="AP12" s="94">
        <f t="shared" si="17"/>
        <v>2.6754657291190389</v>
      </c>
      <c r="AQ12" s="27"/>
      <c r="AR12" s="27"/>
      <c r="AS12" s="94">
        <f t="shared" si="18"/>
        <v>5.502163074164383E-3</v>
      </c>
      <c r="AT12" s="94">
        <f t="shared" si="19"/>
        <v>2.7510815370821915E-3</v>
      </c>
      <c r="AU12" s="94">
        <f t="shared" si="20"/>
        <v>4.8171437714309171</v>
      </c>
      <c r="AV12" s="27"/>
      <c r="AW12" s="27"/>
      <c r="AX12" s="94">
        <f t="shared" si="21"/>
        <v>1.0392974695643835E-2</v>
      </c>
      <c r="AY12" s="94">
        <f t="shared" si="22"/>
        <v>5.1964873478219176E-3</v>
      </c>
      <c r="AZ12" s="27">
        <f t="shared" si="23"/>
        <v>9.0990493460361783</v>
      </c>
      <c r="BA12" s="27"/>
      <c r="BB12" s="27"/>
      <c r="BC12" s="18"/>
      <c r="BG12" s="3"/>
      <c r="BJ12" s="3"/>
      <c r="BM12" s="3"/>
      <c r="BS12" s="107"/>
      <c r="BV12" s="107"/>
      <c r="BY12" s="107"/>
      <c r="CF12" s="27" t="s">
        <v>93</v>
      </c>
      <c r="DA12" s="27"/>
      <c r="DB12" s="27"/>
      <c r="DC12" s="27"/>
      <c r="DD12" s="27"/>
      <c r="DE12" s="27"/>
      <c r="DF12" s="27"/>
      <c r="DG12" s="27"/>
      <c r="DH12" s="27"/>
      <c r="DI12" s="27"/>
      <c r="DJ12" s="27"/>
      <c r="DK12" s="27"/>
      <c r="DL12" s="27"/>
      <c r="DM12" s="27"/>
      <c r="DN12" s="27"/>
      <c r="DO12" s="27"/>
      <c r="DP12" s="27"/>
      <c r="DQ12" s="27"/>
      <c r="DR12" s="27"/>
      <c r="DS12" s="121"/>
      <c r="DW12" s="3"/>
      <c r="DY12" s="38"/>
      <c r="DZ12" s="55"/>
      <c r="EA12" s="38"/>
      <c r="EB12" s="38"/>
      <c r="EC12" s="121"/>
      <c r="EG12" s="3"/>
      <c r="EI12" s="38"/>
      <c r="EJ12" s="55"/>
      <c r="EK12" s="38"/>
      <c r="EL12" s="198"/>
      <c r="EP12" s="3"/>
      <c r="ER12" s="38"/>
      <c r="ES12" s="55"/>
      <c r="ET12" s="38"/>
      <c r="EU12" s="198"/>
    </row>
    <row r="13" spans="1:151" x14ac:dyDescent="0.2">
      <c r="A13" s="3" t="s">
        <v>23</v>
      </c>
      <c r="B13">
        <v>1479</v>
      </c>
      <c r="C13">
        <v>8</v>
      </c>
      <c r="D13">
        <v>1.01</v>
      </c>
      <c r="F13" t="s">
        <v>28</v>
      </c>
      <c r="G13" t="s">
        <v>30</v>
      </c>
      <c r="H13" s="20"/>
      <c r="I13" s="21"/>
      <c r="J13">
        <v>8</v>
      </c>
      <c r="K13" s="94">
        <f t="shared" si="0"/>
        <v>3.50455E-2</v>
      </c>
      <c r="L13" s="97">
        <f t="shared" si="3"/>
        <v>6.3099000000000002E-2</v>
      </c>
      <c r="M13" s="94">
        <f t="shared" si="4"/>
        <v>0.119187</v>
      </c>
      <c r="N13">
        <v>1.01</v>
      </c>
      <c r="O13" s="27">
        <f t="shared" si="5"/>
        <v>0.28316764</v>
      </c>
      <c r="P13" s="27">
        <f t="shared" si="6"/>
        <v>0.50983992</v>
      </c>
      <c r="Q13" s="27">
        <f t="shared" si="7"/>
        <v>0.96303095999999999</v>
      </c>
      <c r="R13" s="27"/>
      <c r="S13" s="27"/>
      <c r="T13" s="27"/>
      <c r="U13" s="18"/>
      <c r="V13">
        <v>2.3999999999999998E-3</v>
      </c>
      <c r="W13">
        <v>0.99760000000000004</v>
      </c>
      <c r="X13" s="94">
        <f t="shared" si="8"/>
        <v>6.7960233599999992E-4</v>
      </c>
      <c r="Y13" s="94">
        <f t="shared" si="9"/>
        <v>1.223615808E-3</v>
      </c>
      <c r="Z13" s="94">
        <f t="shared" si="10"/>
        <v>2.311274304E-3</v>
      </c>
      <c r="AA13" s="94">
        <f t="shared" si="11"/>
        <v>0.28248803766399999</v>
      </c>
      <c r="AB13" s="94">
        <f t="shared" si="12"/>
        <v>0.50861630419199999</v>
      </c>
      <c r="AC13" s="94">
        <f t="shared" si="13"/>
        <v>0.96071968569600008</v>
      </c>
      <c r="AJ13" s="18"/>
      <c r="AK13">
        <v>886</v>
      </c>
      <c r="AL13" s="34">
        <f t="shared" si="14"/>
        <v>0.10114155251141553</v>
      </c>
      <c r="AM13" s="34">
        <f t="shared" si="1"/>
        <v>0.89885844748858446</v>
      </c>
      <c r="AN13" s="94">
        <f t="shared" si="15"/>
        <v>2.8571278695240183E-2</v>
      </c>
      <c r="AO13" s="94">
        <f t="shared" si="16"/>
        <v>1.4285639347620092E-2</v>
      </c>
      <c r="AP13" s="94">
        <f t="shared" si="17"/>
        <v>0.26820239831637993</v>
      </c>
      <c r="AQ13" s="27"/>
      <c r="AR13" s="27"/>
      <c r="AS13" s="94">
        <f t="shared" si="18"/>
        <v>5.1442242638597264E-2</v>
      </c>
      <c r="AT13" s="94">
        <f t="shared" si="19"/>
        <v>2.5721121319298632E-2</v>
      </c>
      <c r="AU13" s="94">
        <f t="shared" si="20"/>
        <v>0.48289518287270139</v>
      </c>
      <c r="AV13" s="27"/>
      <c r="AW13" s="27"/>
      <c r="AX13" s="94">
        <f t="shared" si="21"/>
        <v>9.7168680539572616E-2</v>
      </c>
      <c r="AY13" s="94">
        <f t="shared" si="22"/>
        <v>4.8584340269786308E-2</v>
      </c>
      <c r="AZ13" s="27">
        <f t="shared" si="23"/>
        <v>0.91213534542621377</v>
      </c>
      <c r="BA13" s="27"/>
      <c r="BB13" s="27"/>
      <c r="BC13" s="18"/>
      <c r="BG13" s="3"/>
      <c r="BJ13" s="3"/>
      <c r="BM13" s="3"/>
      <c r="BS13" s="107"/>
      <c r="BV13" s="107"/>
      <c r="BY13" s="107"/>
      <c r="DA13" s="27"/>
      <c r="DB13" s="27"/>
      <c r="DC13" s="27"/>
      <c r="DD13" s="27"/>
      <c r="DE13" s="27"/>
      <c r="DF13" s="27"/>
      <c r="DG13" s="27"/>
      <c r="DH13" s="27"/>
      <c r="DI13" s="27"/>
      <c r="DJ13" s="27"/>
      <c r="DK13" s="27"/>
      <c r="DL13" s="27"/>
      <c r="DM13" s="27"/>
      <c r="DN13" s="27"/>
      <c r="DO13" s="27"/>
      <c r="DP13" s="27"/>
      <c r="DQ13" s="27"/>
      <c r="DR13" s="27"/>
      <c r="DS13" s="121"/>
      <c r="DW13" s="3"/>
      <c r="DY13" s="38"/>
      <c r="DZ13" s="55"/>
      <c r="EA13" s="38"/>
      <c r="EB13" s="38"/>
      <c r="EC13" s="121"/>
      <c r="EG13" s="3"/>
      <c r="EI13" s="38"/>
      <c r="EJ13" s="55"/>
      <c r="EK13" s="38"/>
      <c r="EL13" s="198"/>
      <c r="EP13" s="3"/>
      <c r="ER13" s="38"/>
      <c r="ES13" s="55"/>
      <c r="ET13" s="38"/>
      <c r="EU13" s="198"/>
    </row>
    <row r="14" spans="1:151" x14ac:dyDescent="0.2">
      <c r="A14" s="3" t="s">
        <v>24</v>
      </c>
      <c r="B14">
        <v>1228</v>
      </c>
      <c r="C14">
        <v>41</v>
      </c>
      <c r="D14">
        <v>3.38</v>
      </c>
      <c r="E14">
        <v>0.32500000000000001</v>
      </c>
      <c r="F14" t="s">
        <v>29</v>
      </c>
      <c r="G14" t="s">
        <v>124</v>
      </c>
      <c r="H14" s="20"/>
      <c r="I14" s="21"/>
      <c r="J14">
        <v>399</v>
      </c>
      <c r="K14" s="94">
        <f t="shared" si="0"/>
        <v>3.50455E-2</v>
      </c>
      <c r="L14" s="97">
        <f t="shared" si="3"/>
        <v>6.3099000000000002E-2</v>
      </c>
      <c r="M14" s="94">
        <f t="shared" si="4"/>
        <v>0.119187</v>
      </c>
      <c r="N14">
        <v>0.33</v>
      </c>
      <c r="O14" s="27">
        <f t="shared" si="5"/>
        <v>4.6144409849999999</v>
      </c>
      <c r="P14" s="27">
        <f t="shared" si="6"/>
        <v>8.3082453300000019</v>
      </c>
      <c r="Q14" s="27">
        <f t="shared" si="7"/>
        <v>15.693352290000002</v>
      </c>
      <c r="R14" s="27"/>
      <c r="S14" s="27"/>
      <c r="T14" s="27"/>
      <c r="U14" s="18"/>
      <c r="V14">
        <v>2.3999999999999998E-3</v>
      </c>
      <c r="W14">
        <v>0.99760000000000004</v>
      </c>
      <c r="X14" s="94">
        <f t="shared" si="8"/>
        <v>1.1074658363999998E-2</v>
      </c>
      <c r="Y14" s="94">
        <f t="shared" si="9"/>
        <v>1.9939788792000004E-2</v>
      </c>
      <c r="Z14" s="94">
        <f t="shared" si="10"/>
        <v>3.7664045495999998E-2</v>
      </c>
      <c r="AA14" s="94">
        <f t="shared" si="11"/>
        <v>4.6033663266360003</v>
      </c>
      <c r="AB14" s="94">
        <f t="shared" si="12"/>
        <v>8.2883055412080022</v>
      </c>
      <c r="AC14" s="94">
        <f t="shared" si="13"/>
        <v>15.655688244504002</v>
      </c>
      <c r="AJ14" s="18"/>
      <c r="AK14">
        <v>167</v>
      </c>
      <c r="AL14" s="34">
        <f t="shared" si="14"/>
        <v>1.906392694063927E-2</v>
      </c>
      <c r="AM14" s="34">
        <f t="shared" si="1"/>
        <v>0.9809360730593607</v>
      </c>
      <c r="AN14" s="94">
        <f t="shared" si="15"/>
        <v>8.7758239331987675E-2</v>
      </c>
      <c r="AO14" s="94">
        <f t="shared" si="16"/>
        <v>4.3879119665993838E-2</v>
      </c>
      <c r="AP14" s="94">
        <f t="shared" si="17"/>
        <v>4.5594872069700063</v>
      </c>
      <c r="AQ14" s="27"/>
      <c r="AR14" s="27"/>
      <c r="AS14" s="94">
        <f t="shared" si="18"/>
        <v>0.15800765129928498</v>
      </c>
      <c r="AT14" s="94">
        <f t="shared" si="19"/>
        <v>7.9003825649642492E-2</v>
      </c>
      <c r="AU14" s="94">
        <f t="shared" si="20"/>
        <v>8.2093017155583592</v>
      </c>
      <c r="AV14" s="27"/>
      <c r="AW14" s="27"/>
      <c r="AX14" s="94">
        <f t="shared" si="21"/>
        <v>0.29845889689864935</v>
      </c>
      <c r="AY14" s="94">
        <f t="shared" si="22"/>
        <v>0.14922944844932468</v>
      </c>
      <c r="AZ14" s="27">
        <f t="shared" si="23"/>
        <v>15.506458796054677</v>
      </c>
      <c r="BA14" s="27"/>
      <c r="BB14" s="27"/>
      <c r="BC14" s="18"/>
      <c r="BG14" s="3"/>
      <c r="BJ14" s="3"/>
      <c r="BM14" s="3"/>
      <c r="BS14" s="107"/>
      <c r="BV14" s="107"/>
      <c r="BY14" s="107"/>
      <c r="DA14" s="27"/>
      <c r="DB14" s="27"/>
      <c r="DC14" s="27"/>
      <c r="DD14" s="27"/>
      <c r="DE14" s="27"/>
      <c r="DF14" s="27"/>
      <c r="DG14" s="27"/>
      <c r="DH14" s="27"/>
      <c r="DI14" s="27"/>
      <c r="DJ14" s="27"/>
      <c r="DK14" s="27"/>
      <c r="DL14" s="27"/>
      <c r="DM14" s="27"/>
      <c r="DN14" s="27"/>
      <c r="DO14" s="27"/>
      <c r="DP14" s="27"/>
      <c r="DQ14" s="27"/>
      <c r="DR14" s="27"/>
      <c r="DS14" s="121"/>
      <c r="DW14" s="3"/>
      <c r="DY14" s="38"/>
      <c r="DZ14" s="55"/>
      <c r="EA14" s="38"/>
      <c r="EB14" s="38"/>
      <c r="EC14" s="121"/>
      <c r="EG14" s="3"/>
      <c r="EI14" s="38"/>
      <c r="EJ14" s="55"/>
      <c r="EK14" s="38"/>
      <c r="EL14" s="198"/>
      <c r="EP14" s="3"/>
      <c r="ER14" s="38"/>
      <c r="ES14" s="55"/>
      <c r="ET14" s="38"/>
      <c r="EU14" s="198"/>
    </row>
    <row r="15" spans="1:151" x14ac:dyDescent="0.2">
      <c r="A15" s="3" t="s">
        <v>31</v>
      </c>
      <c r="B15">
        <v>1379</v>
      </c>
      <c r="C15">
        <v>6</v>
      </c>
      <c r="D15">
        <v>0.59</v>
      </c>
      <c r="F15" t="s">
        <v>32</v>
      </c>
      <c r="G15" t="s">
        <v>30</v>
      </c>
      <c r="H15" s="20"/>
      <c r="I15" s="21"/>
      <c r="J15">
        <v>6</v>
      </c>
      <c r="K15" s="94">
        <f t="shared" si="0"/>
        <v>3.50455E-2</v>
      </c>
      <c r="L15" s="97">
        <f t="shared" si="3"/>
        <v>6.3099000000000002E-2</v>
      </c>
      <c r="M15" s="94">
        <f t="shared" si="4"/>
        <v>0.119187</v>
      </c>
      <c r="N15">
        <v>0.59</v>
      </c>
      <c r="O15" s="27">
        <f t="shared" si="5"/>
        <v>0.12406106999999998</v>
      </c>
      <c r="P15" s="27">
        <f t="shared" si="6"/>
        <v>0.22337045999999999</v>
      </c>
      <c r="Q15" s="27">
        <f t="shared" si="7"/>
        <v>0.42192197999999997</v>
      </c>
      <c r="R15" s="27"/>
      <c r="S15" s="27"/>
      <c r="T15" s="27"/>
      <c r="U15" s="18"/>
      <c r="V15">
        <v>2.3999999999999998E-3</v>
      </c>
      <c r="W15">
        <v>0.99760000000000004</v>
      </c>
      <c r="X15" s="94">
        <f t="shared" si="8"/>
        <v>2.9774656799999994E-4</v>
      </c>
      <c r="Y15" s="94">
        <f t="shared" si="9"/>
        <v>5.3608910399999992E-4</v>
      </c>
      <c r="Z15" s="94">
        <f t="shared" si="10"/>
        <v>1.0126127519999998E-3</v>
      </c>
      <c r="AA15" s="94">
        <f t="shared" si="11"/>
        <v>0.12376332343199999</v>
      </c>
      <c r="AB15" s="94">
        <f t="shared" si="12"/>
        <v>0.222834370896</v>
      </c>
      <c r="AC15" s="94">
        <f t="shared" si="13"/>
        <v>0.42090936724799999</v>
      </c>
      <c r="AJ15" s="18"/>
      <c r="AK15">
        <v>1315</v>
      </c>
      <c r="AL15" s="34">
        <f t="shared" si="14"/>
        <v>0.15011415525114155</v>
      </c>
      <c r="AM15" s="34">
        <f t="shared" si="1"/>
        <v>0.84988584474885842</v>
      </c>
      <c r="AN15" s="94">
        <f t="shared" si="15"/>
        <v>1.857862674806849E-2</v>
      </c>
      <c r="AO15" s="94">
        <f t="shared" si="16"/>
        <v>9.289313374034245E-3</v>
      </c>
      <c r="AP15" s="94">
        <f t="shared" si="17"/>
        <v>0.11447401005796573</v>
      </c>
      <c r="AQ15" s="27"/>
      <c r="AR15" s="27"/>
      <c r="AS15" s="94">
        <f t="shared" si="18"/>
        <v>3.3450593347972603E-2</v>
      </c>
      <c r="AT15" s="94">
        <f t="shared" si="19"/>
        <v>1.6725296673986301E-2</v>
      </c>
      <c r="AU15" s="94">
        <f t="shared" si="20"/>
        <v>0.20610907422201372</v>
      </c>
      <c r="AV15" s="27"/>
      <c r="AW15" s="27"/>
      <c r="AX15" s="94">
        <f t="shared" si="21"/>
        <v>6.3184454101726031E-2</v>
      </c>
      <c r="AY15" s="94">
        <f t="shared" si="22"/>
        <v>3.1592227050863016E-2</v>
      </c>
      <c r="AZ15" s="27">
        <f t="shared" si="23"/>
        <v>0.38931714019713698</v>
      </c>
      <c r="BA15" s="27"/>
      <c r="BB15" s="27"/>
      <c r="BC15" s="18"/>
      <c r="BG15" s="3"/>
      <c r="BJ15" s="3"/>
      <c r="BM15" s="3"/>
      <c r="BS15" s="107"/>
      <c r="BV15" s="107"/>
      <c r="BY15" s="107"/>
      <c r="DA15" s="27"/>
      <c r="DB15" s="27"/>
      <c r="DC15" s="27"/>
      <c r="DD15" s="27"/>
      <c r="DE15" s="27"/>
      <c r="DF15" s="27"/>
      <c r="DG15" s="27"/>
      <c r="DH15" s="27"/>
      <c r="DI15" s="27"/>
      <c r="DJ15" s="27"/>
      <c r="DK15" s="27"/>
      <c r="DL15" s="27"/>
      <c r="DM15" s="27"/>
      <c r="DN15" s="27"/>
      <c r="DO15" s="27"/>
      <c r="DP15" s="27"/>
      <c r="DQ15" s="27"/>
      <c r="DR15" s="27"/>
      <c r="DS15" s="121"/>
      <c r="DW15" s="3"/>
      <c r="DY15" s="38"/>
      <c r="DZ15" s="55"/>
      <c r="EA15" s="38"/>
      <c r="EB15" s="38"/>
      <c r="EC15" s="121"/>
      <c r="EG15" s="3"/>
      <c r="EI15" s="38"/>
      <c r="EJ15" s="55"/>
      <c r="EK15" s="38"/>
      <c r="EL15" s="198"/>
      <c r="EP15" s="3"/>
      <c r="ER15" s="38"/>
      <c r="ES15" s="55"/>
      <c r="ET15" s="38"/>
      <c r="EU15" s="198"/>
    </row>
    <row r="16" spans="1:151" x14ac:dyDescent="0.2">
      <c r="A16" s="3" t="s">
        <v>33</v>
      </c>
      <c r="B16">
        <v>1179</v>
      </c>
      <c r="C16">
        <v>10</v>
      </c>
      <c r="D16">
        <v>2.5</v>
      </c>
      <c r="E16">
        <v>0.625</v>
      </c>
      <c r="F16" t="s">
        <v>34</v>
      </c>
      <c r="G16" t="s">
        <v>11</v>
      </c>
      <c r="H16" s="20"/>
      <c r="I16" s="21"/>
      <c r="J16">
        <v>737</v>
      </c>
      <c r="K16" s="94">
        <f t="shared" si="0"/>
        <v>3.50455E-2</v>
      </c>
      <c r="L16" s="97">
        <f t="shared" si="3"/>
        <v>6.3099000000000002E-2</v>
      </c>
      <c r="M16" s="94">
        <f t="shared" si="4"/>
        <v>0.119187</v>
      </c>
      <c r="N16">
        <v>0.63</v>
      </c>
      <c r="O16" s="27">
        <f t="shared" si="5"/>
        <v>16.271976105</v>
      </c>
      <c r="P16" s="27">
        <f t="shared" si="6"/>
        <v>29.297496689999999</v>
      </c>
      <c r="Q16" s="27">
        <f t="shared" si="7"/>
        <v>55.33971597</v>
      </c>
      <c r="R16" s="27"/>
      <c r="S16" s="27"/>
      <c r="T16" s="27"/>
      <c r="U16" s="18"/>
      <c r="V16">
        <v>2.3999999999999998E-3</v>
      </c>
      <c r="W16">
        <v>0.99760000000000004</v>
      </c>
      <c r="X16" s="94">
        <f t="shared" si="8"/>
        <v>3.9052742651999997E-2</v>
      </c>
      <c r="Y16" s="94">
        <f t="shared" si="9"/>
        <v>7.0313992055999988E-2</v>
      </c>
      <c r="Z16" s="94">
        <f t="shared" si="10"/>
        <v>0.13281531832799998</v>
      </c>
      <c r="AA16" s="94">
        <f t="shared" si="11"/>
        <v>16.232923362348</v>
      </c>
      <c r="AB16" s="94">
        <f t="shared" si="12"/>
        <v>29.227182697943999</v>
      </c>
      <c r="AC16" s="94">
        <f t="shared" si="13"/>
        <v>55.206900651672001</v>
      </c>
      <c r="AJ16" s="18"/>
      <c r="AK16">
        <v>149</v>
      </c>
      <c r="AL16" s="34">
        <f t="shared" si="14"/>
        <v>1.7009132420091323E-2</v>
      </c>
      <c r="AM16" s="34">
        <f t="shared" si="1"/>
        <v>0.98299086757990872</v>
      </c>
      <c r="AN16" s="94">
        <f t="shared" si="15"/>
        <v>0.27610794303537123</v>
      </c>
      <c r="AO16" s="94">
        <f t="shared" si="16"/>
        <v>0.13805397151768561</v>
      </c>
      <c r="AP16" s="94">
        <f t="shared" si="17"/>
        <v>16.094869390830315</v>
      </c>
      <c r="AQ16" s="27"/>
      <c r="AR16" s="27"/>
      <c r="AS16" s="94">
        <f t="shared" si="18"/>
        <v>0.49712902077553145</v>
      </c>
      <c r="AT16" s="94">
        <f t="shared" si="19"/>
        <v>0.24856451038776572</v>
      </c>
      <c r="AU16" s="94">
        <f t="shared" si="20"/>
        <v>28.978618187556233</v>
      </c>
      <c r="AV16" s="27"/>
      <c r="AW16" s="27"/>
      <c r="AX16" s="94">
        <f t="shared" si="21"/>
        <v>0.93902148368711502</v>
      </c>
      <c r="AY16" s="94">
        <f t="shared" si="22"/>
        <v>0.46951074184355751</v>
      </c>
      <c r="AZ16" s="27">
        <f t="shared" si="23"/>
        <v>54.737389909828444</v>
      </c>
      <c r="BA16" s="27"/>
      <c r="BB16" s="27"/>
      <c r="BC16" s="18"/>
      <c r="BG16" s="3"/>
      <c r="BJ16" s="3"/>
      <c r="BM16" s="3"/>
      <c r="BS16" s="107"/>
      <c r="BV16" s="107"/>
      <c r="BY16" s="107"/>
      <c r="DA16" s="27"/>
      <c r="DB16" s="27"/>
      <c r="DC16" s="27"/>
      <c r="DD16" s="27"/>
      <c r="DE16" s="27"/>
      <c r="DF16" s="27"/>
      <c r="DG16" s="27"/>
      <c r="DH16" s="27"/>
      <c r="DI16" s="27"/>
      <c r="DJ16" s="27"/>
      <c r="DK16" s="27"/>
      <c r="DL16" s="27"/>
      <c r="DM16" s="27"/>
      <c r="DN16" s="27"/>
      <c r="DO16" s="27"/>
      <c r="DP16" s="27"/>
      <c r="DQ16" s="27"/>
      <c r="DR16" s="27"/>
      <c r="DS16" s="121"/>
      <c r="DW16" s="3"/>
      <c r="DY16" s="38"/>
      <c r="DZ16" s="55"/>
      <c r="EA16" s="38"/>
      <c r="EB16" s="38"/>
      <c r="EC16" s="121"/>
      <c r="EG16" s="3"/>
      <c r="EI16" s="38"/>
      <c r="EJ16" s="55"/>
      <c r="EK16" s="38"/>
      <c r="EL16" s="198"/>
      <c r="EP16" s="3"/>
      <c r="ER16" s="38"/>
      <c r="ES16" s="55"/>
      <c r="ET16" s="38"/>
      <c r="EU16" s="198"/>
    </row>
    <row r="17" spans="1:151" x14ac:dyDescent="0.2">
      <c r="A17" s="3" t="s">
        <v>35</v>
      </c>
      <c r="B17">
        <v>1252</v>
      </c>
      <c r="C17">
        <v>1250</v>
      </c>
      <c r="D17">
        <v>0.08</v>
      </c>
      <c r="F17" t="s">
        <v>36</v>
      </c>
      <c r="G17" t="s">
        <v>126</v>
      </c>
      <c r="H17" s="20"/>
      <c r="I17" s="21"/>
      <c r="J17">
        <v>100</v>
      </c>
      <c r="K17" s="94">
        <f t="shared" si="0"/>
        <v>3.50455E-2</v>
      </c>
      <c r="L17" s="97">
        <f t="shared" si="3"/>
        <v>6.3099000000000002E-2</v>
      </c>
      <c r="M17" s="94">
        <f t="shared" si="4"/>
        <v>0.119187</v>
      </c>
      <c r="N17">
        <v>0.08</v>
      </c>
      <c r="O17" s="27">
        <f t="shared" si="5"/>
        <v>0.280364</v>
      </c>
      <c r="P17" s="27">
        <f t="shared" si="6"/>
        <v>0.50479200000000002</v>
      </c>
      <c r="Q17" s="27">
        <f t="shared" si="7"/>
        <v>0.95349600000000001</v>
      </c>
      <c r="R17" s="27"/>
      <c r="S17" s="27"/>
      <c r="T17" s="27"/>
      <c r="U17" s="18"/>
      <c r="V17">
        <v>2.3999999999999998E-3</v>
      </c>
      <c r="W17">
        <v>0.99760000000000004</v>
      </c>
      <c r="X17" s="94">
        <f t="shared" si="8"/>
        <v>6.7287359999999993E-4</v>
      </c>
      <c r="Y17" s="94">
        <f t="shared" si="9"/>
        <v>1.2115008E-3</v>
      </c>
      <c r="Z17" s="94">
        <f t="shared" si="10"/>
        <v>2.2883903999999997E-3</v>
      </c>
      <c r="AA17" s="94">
        <f t="shared" si="11"/>
        <v>0.27969112639999999</v>
      </c>
      <c r="AB17" s="94">
        <f t="shared" si="12"/>
        <v>0.50358049920000003</v>
      </c>
      <c r="AC17" s="94">
        <f t="shared" si="13"/>
        <v>0.95120760960000006</v>
      </c>
      <c r="AJ17" s="18"/>
      <c r="AK17">
        <v>1181</v>
      </c>
      <c r="AL17" s="34">
        <f t="shared" si="14"/>
        <v>0.13481735159817351</v>
      </c>
      <c r="AM17" s="34">
        <f t="shared" si="1"/>
        <v>0.86518264840182646</v>
      </c>
      <c r="AN17" s="94">
        <f t="shared" si="15"/>
        <v>3.7707216926757992E-2</v>
      </c>
      <c r="AO17" s="94">
        <f t="shared" si="16"/>
        <v>1.8853608463378996E-2</v>
      </c>
      <c r="AP17" s="94">
        <f t="shared" si="17"/>
        <v>0.26083751793662102</v>
      </c>
      <c r="AQ17" s="27"/>
      <c r="AR17" s="27"/>
      <c r="AS17" s="94">
        <f t="shared" si="18"/>
        <v>6.7891389218630138E-2</v>
      </c>
      <c r="AT17" s="94">
        <f t="shared" si="19"/>
        <v>3.3945694609315069E-2</v>
      </c>
      <c r="AU17" s="94">
        <f t="shared" si="20"/>
        <v>0.46963480459068496</v>
      </c>
      <c r="AV17" s="27"/>
      <c r="AW17" s="27"/>
      <c r="AX17" s="94">
        <f t="shared" si="21"/>
        <v>0.12823929074630139</v>
      </c>
      <c r="AY17" s="94">
        <f t="shared" si="22"/>
        <v>6.4119645373150694E-2</v>
      </c>
      <c r="AZ17" s="27">
        <f t="shared" si="23"/>
        <v>0.88708796422684943</v>
      </c>
      <c r="BA17" s="27"/>
      <c r="BB17" s="27"/>
      <c r="BC17" s="18"/>
      <c r="BG17" s="3"/>
      <c r="BJ17" s="3"/>
      <c r="BM17" s="3"/>
      <c r="BS17" s="107"/>
      <c r="BV17" s="107"/>
      <c r="BY17" s="107"/>
      <c r="DA17" s="27"/>
      <c r="DB17" s="27"/>
      <c r="DC17" s="27"/>
      <c r="DD17" s="27"/>
      <c r="DE17" s="27"/>
      <c r="DF17" s="27"/>
      <c r="DG17" s="27"/>
      <c r="DH17" s="27"/>
      <c r="DI17" s="27"/>
      <c r="DJ17" s="27"/>
      <c r="DK17" s="27"/>
      <c r="DL17" s="27"/>
      <c r="DM17" s="27"/>
      <c r="DN17" s="27"/>
      <c r="DO17" s="27"/>
      <c r="DP17" s="27"/>
      <c r="DQ17" s="27"/>
      <c r="DR17" s="27"/>
      <c r="DS17" s="121"/>
      <c r="DW17" s="3"/>
      <c r="DY17" s="38"/>
      <c r="DZ17" s="55"/>
      <c r="EA17" s="38"/>
      <c r="EB17" s="38"/>
      <c r="EC17" s="121"/>
      <c r="EG17" s="3"/>
      <c r="EI17" s="38"/>
      <c r="EJ17" s="55"/>
      <c r="EK17" s="38"/>
      <c r="EL17" s="198"/>
      <c r="EP17" s="3"/>
      <c r="ER17" s="38"/>
      <c r="ES17" s="55"/>
      <c r="ET17" s="38"/>
      <c r="EU17" s="198"/>
    </row>
    <row r="18" spans="1:151" x14ac:dyDescent="0.2">
      <c r="A18" s="3" t="s">
        <v>37</v>
      </c>
      <c r="B18">
        <v>1186.5</v>
      </c>
      <c r="C18">
        <v>901</v>
      </c>
      <c r="D18">
        <v>0.69</v>
      </c>
      <c r="E18">
        <v>0.16500000000000001</v>
      </c>
      <c r="F18" t="s">
        <v>38</v>
      </c>
      <c r="G18" t="s">
        <v>16</v>
      </c>
      <c r="H18" s="20"/>
      <c r="I18" s="21"/>
      <c r="J18">
        <v>819</v>
      </c>
      <c r="K18" s="94">
        <f t="shared" si="0"/>
        <v>3.50455E-2</v>
      </c>
      <c r="L18" s="97">
        <f t="shared" si="3"/>
        <v>6.3099000000000002E-2</v>
      </c>
      <c r="M18" s="94">
        <f t="shared" si="4"/>
        <v>0.119187</v>
      </c>
      <c r="N18">
        <v>0.17</v>
      </c>
      <c r="O18" s="27">
        <f t="shared" si="5"/>
        <v>4.8793849650000007</v>
      </c>
      <c r="P18" s="27">
        <f t="shared" si="6"/>
        <v>8.7852737699999999</v>
      </c>
      <c r="Q18" s="27">
        <f t="shared" si="7"/>
        <v>16.59440601</v>
      </c>
      <c r="R18" s="27"/>
      <c r="S18" s="27"/>
      <c r="T18" s="27"/>
      <c r="U18" s="18"/>
      <c r="V18">
        <v>2.3999999999999998E-3</v>
      </c>
      <c r="W18">
        <v>0.99760000000000004</v>
      </c>
      <c r="X18" s="94">
        <f t="shared" si="8"/>
        <v>1.1710523916E-2</v>
      </c>
      <c r="Y18" s="94">
        <f t="shared" si="9"/>
        <v>2.1084657048E-2</v>
      </c>
      <c r="Z18" s="94">
        <f t="shared" si="10"/>
        <v>3.9826574423999998E-2</v>
      </c>
      <c r="AA18" s="94">
        <f t="shared" si="11"/>
        <v>4.8676744410840014</v>
      </c>
      <c r="AB18" s="94">
        <f t="shared" si="12"/>
        <v>8.7641891129519998</v>
      </c>
      <c r="AC18" s="94">
        <f t="shared" si="13"/>
        <v>16.554579435576002</v>
      </c>
      <c r="AJ18" s="18"/>
      <c r="AK18">
        <v>171</v>
      </c>
      <c r="AL18" s="34">
        <f t="shared" si="14"/>
        <v>1.9520547945205479E-2</v>
      </c>
      <c r="AM18" s="34">
        <f t="shared" si="1"/>
        <v>0.98047945205479448</v>
      </c>
      <c r="AN18" s="94">
        <f t="shared" si="15"/>
        <v>9.5019672308831529E-2</v>
      </c>
      <c r="AO18" s="94">
        <f t="shared" si="16"/>
        <v>4.7509836154415765E-2</v>
      </c>
      <c r="AP18" s="94">
        <f t="shared" si="17"/>
        <v>4.8201646049295856</v>
      </c>
      <c r="AQ18" s="27"/>
      <c r="AR18" s="27"/>
      <c r="AS18" s="94">
        <f t="shared" si="18"/>
        <v>0.1710817737802274</v>
      </c>
      <c r="AT18" s="94">
        <f t="shared" si="19"/>
        <v>8.5540886890113702E-2</v>
      </c>
      <c r="AU18" s="94">
        <f t="shared" si="20"/>
        <v>8.6786482260618847</v>
      </c>
      <c r="AV18" s="27"/>
      <c r="AW18" s="27"/>
      <c r="AX18" s="94">
        <f t="shared" si="21"/>
        <v>0.32315446158487399</v>
      </c>
      <c r="AY18" s="94">
        <f t="shared" si="22"/>
        <v>0.16157723079243699</v>
      </c>
      <c r="AZ18" s="27">
        <f t="shared" si="23"/>
        <v>16.393002204783564</v>
      </c>
      <c r="BA18" s="27"/>
      <c r="BB18" s="27"/>
      <c r="BC18" s="18"/>
      <c r="BG18" s="3"/>
      <c r="BJ18" s="3"/>
      <c r="BM18" s="3"/>
      <c r="BS18" s="107"/>
      <c r="BV18" s="107"/>
      <c r="BY18" s="107"/>
      <c r="DA18" s="27"/>
      <c r="DB18" s="27"/>
      <c r="DC18" s="27"/>
      <c r="DD18" s="27"/>
      <c r="DE18" s="27"/>
      <c r="DF18" s="27"/>
      <c r="DG18" s="27"/>
      <c r="DH18" s="27"/>
      <c r="DI18" s="27"/>
      <c r="DJ18" s="27"/>
      <c r="DK18" s="27"/>
      <c r="DL18" s="27"/>
      <c r="DM18" s="27"/>
      <c r="DN18" s="27"/>
      <c r="DO18" s="27"/>
      <c r="DP18" s="27"/>
      <c r="DQ18" s="27"/>
      <c r="DR18" s="27"/>
      <c r="DS18" s="121"/>
      <c r="DW18" s="3"/>
      <c r="DY18" s="38"/>
      <c r="DZ18" s="55"/>
      <c r="EA18" s="38"/>
      <c r="EB18" s="38"/>
      <c r="EC18" s="121"/>
      <c r="EG18" s="3"/>
      <c r="EI18" s="38"/>
      <c r="EJ18" s="55"/>
      <c r="EK18" s="38"/>
      <c r="EL18" s="198"/>
      <c r="EP18" s="3"/>
      <c r="ER18" s="38"/>
      <c r="ES18" s="55"/>
      <c r="ET18" s="38"/>
      <c r="EU18" s="198"/>
    </row>
    <row r="19" spans="1:151" x14ac:dyDescent="0.2">
      <c r="A19" s="3" t="s">
        <v>39</v>
      </c>
      <c r="B19">
        <v>1747</v>
      </c>
      <c r="C19">
        <v>901</v>
      </c>
      <c r="D19">
        <v>0.41</v>
      </c>
      <c r="F19" t="s">
        <v>40</v>
      </c>
      <c r="G19" t="s">
        <v>126</v>
      </c>
      <c r="H19" s="20"/>
      <c r="I19" s="21"/>
      <c r="J19">
        <v>716</v>
      </c>
      <c r="K19" s="94">
        <f t="shared" si="0"/>
        <v>3.50455E-2</v>
      </c>
      <c r="L19" s="97">
        <f t="shared" si="3"/>
        <v>6.3099000000000002E-2</v>
      </c>
      <c r="M19" s="94">
        <f t="shared" si="4"/>
        <v>0.119187</v>
      </c>
      <c r="N19">
        <v>0.41</v>
      </c>
      <c r="O19" s="27">
        <f t="shared" si="5"/>
        <v>10.287956979999999</v>
      </c>
      <c r="P19" s="27">
        <f t="shared" si="6"/>
        <v>18.52334244</v>
      </c>
      <c r="Q19" s="27">
        <f t="shared" si="7"/>
        <v>34.988535719999994</v>
      </c>
      <c r="R19" s="27"/>
      <c r="S19" s="27"/>
      <c r="T19" s="27"/>
      <c r="U19" s="18"/>
      <c r="V19">
        <v>2.3999999999999998E-3</v>
      </c>
      <c r="W19">
        <v>0.99760000000000004</v>
      </c>
      <c r="X19" s="94">
        <f t="shared" si="8"/>
        <v>2.4691096751999996E-2</v>
      </c>
      <c r="Y19" s="94">
        <f t="shared" si="9"/>
        <v>4.4456021855999998E-2</v>
      </c>
      <c r="Z19" s="94">
        <f t="shared" si="10"/>
        <v>8.3972485727999979E-2</v>
      </c>
      <c r="AA19" s="94">
        <f t="shared" si="11"/>
        <v>10.263265883248</v>
      </c>
      <c r="AB19" s="94">
        <f t="shared" si="12"/>
        <v>18.478886418144</v>
      </c>
      <c r="AC19" s="94">
        <f t="shared" si="13"/>
        <v>34.904563234271997</v>
      </c>
      <c r="AJ19" s="18"/>
      <c r="AK19">
        <v>14</v>
      </c>
      <c r="AL19" s="34">
        <f t="shared" si="14"/>
        <v>1.5981735159817352E-3</v>
      </c>
      <c r="AM19" s="34">
        <f t="shared" si="1"/>
        <v>0.99840182648401832</v>
      </c>
      <c r="AN19" s="94">
        <f t="shared" si="15"/>
        <v>1.6402479722085844E-2</v>
      </c>
      <c r="AO19" s="94">
        <f t="shared" si="16"/>
        <v>8.2012398610429218E-3</v>
      </c>
      <c r="AP19" s="94">
        <f t="shared" si="17"/>
        <v>10.255064643386957</v>
      </c>
      <c r="AQ19" s="27"/>
      <c r="AR19" s="27"/>
      <c r="AS19" s="94">
        <f t="shared" si="18"/>
        <v>2.9532466878312329E-2</v>
      </c>
      <c r="AT19" s="94">
        <f t="shared" si="19"/>
        <v>1.4766233439156165E-2</v>
      </c>
      <c r="AU19" s="94">
        <f t="shared" si="20"/>
        <v>18.464120184704846</v>
      </c>
      <c r="AV19" s="27"/>
      <c r="AW19" s="27"/>
      <c r="AX19" s="94">
        <f t="shared" si="21"/>
        <v>5.5783548547923285E-2</v>
      </c>
      <c r="AY19" s="94">
        <f t="shared" si="22"/>
        <v>2.7891774273961643E-2</v>
      </c>
      <c r="AZ19" s="27">
        <f t="shared" si="23"/>
        <v>34.876671459998036</v>
      </c>
      <c r="BA19" s="27"/>
      <c r="BB19" s="27"/>
      <c r="BC19" s="18"/>
      <c r="BG19" s="3"/>
      <c r="BJ19" s="3"/>
      <c r="BM19" s="3"/>
      <c r="BS19" s="107"/>
      <c r="BV19" s="107"/>
      <c r="BY19" s="107"/>
      <c r="DA19" s="27"/>
      <c r="DB19" s="27"/>
      <c r="DC19" s="27"/>
      <c r="DD19" s="27"/>
      <c r="DE19" s="27"/>
      <c r="DF19" s="27"/>
      <c r="DG19" s="27"/>
      <c r="DH19" s="27"/>
      <c r="DI19" s="27"/>
      <c r="DJ19" s="27"/>
      <c r="DK19" s="27"/>
      <c r="DL19" s="27"/>
      <c r="DM19" s="27"/>
      <c r="DN19" s="27"/>
      <c r="DO19" s="27"/>
      <c r="DP19" s="27"/>
      <c r="DQ19" s="27"/>
      <c r="DR19" s="27"/>
      <c r="DS19" s="121"/>
      <c r="DW19" s="3"/>
      <c r="DY19" s="38"/>
      <c r="DZ19" s="55"/>
      <c r="EA19" s="38"/>
      <c r="EB19" s="38"/>
      <c r="EC19" s="121"/>
      <c r="EG19" s="3"/>
      <c r="EI19" s="38"/>
      <c r="EJ19" s="55"/>
      <c r="EK19" s="38"/>
      <c r="EL19" s="198"/>
      <c r="EP19" s="3"/>
      <c r="ER19" s="38"/>
      <c r="ES19" s="55"/>
      <c r="ET19" s="38"/>
      <c r="EU19" s="198"/>
    </row>
    <row r="20" spans="1:151" x14ac:dyDescent="0.2">
      <c r="A20" s="3" t="s">
        <v>41</v>
      </c>
      <c r="B20">
        <v>1179</v>
      </c>
      <c r="C20">
        <v>10</v>
      </c>
      <c r="D20">
        <v>0.34</v>
      </c>
      <c r="E20">
        <v>0.25</v>
      </c>
      <c r="F20" t="s">
        <v>42</v>
      </c>
      <c r="G20" t="s">
        <v>11</v>
      </c>
      <c r="H20" s="20"/>
      <c r="I20" s="21"/>
      <c r="J20">
        <v>295</v>
      </c>
      <c r="K20" s="94">
        <f t="shared" si="0"/>
        <v>3.50455E-2</v>
      </c>
      <c r="L20" s="97">
        <f t="shared" si="3"/>
        <v>6.3099000000000002E-2</v>
      </c>
      <c r="M20" s="94">
        <f t="shared" si="4"/>
        <v>0.119187</v>
      </c>
      <c r="N20">
        <v>0.25</v>
      </c>
      <c r="O20" s="27">
        <f t="shared" si="5"/>
        <v>2.584605625</v>
      </c>
      <c r="P20" s="27">
        <f t="shared" si="6"/>
        <v>4.6535512500000005</v>
      </c>
      <c r="Q20" s="27">
        <f t="shared" si="7"/>
        <v>8.7900412499999998</v>
      </c>
      <c r="R20" s="27"/>
      <c r="S20" s="27"/>
      <c r="T20" s="27"/>
      <c r="U20" s="18"/>
      <c r="V20">
        <v>2.3999999999999998E-3</v>
      </c>
      <c r="W20">
        <v>0.99760000000000004</v>
      </c>
      <c r="X20" s="94">
        <f t="shared" si="8"/>
        <v>6.2030534999999998E-3</v>
      </c>
      <c r="Y20" s="94">
        <f t="shared" si="9"/>
        <v>1.1168523E-2</v>
      </c>
      <c r="Z20" s="94">
        <f t="shared" si="10"/>
        <v>2.1096098999999997E-2</v>
      </c>
      <c r="AA20" s="94">
        <f t="shared" si="11"/>
        <v>2.5784025715000003</v>
      </c>
      <c r="AB20" s="94">
        <f t="shared" si="12"/>
        <v>4.6423827270000011</v>
      </c>
      <c r="AC20" s="94">
        <f t="shared" si="13"/>
        <v>8.7689451510000005</v>
      </c>
      <c r="AJ20" s="18"/>
      <c r="AK20">
        <v>39</v>
      </c>
      <c r="AL20" s="34">
        <f t="shared" si="14"/>
        <v>4.4520547945205479E-3</v>
      </c>
      <c r="AM20" s="34">
        <f t="shared" si="1"/>
        <v>0.9955479452054794</v>
      </c>
      <c r="AN20" s="94">
        <f t="shared" si="15"/>
        <v>1.1479189530650686E-2</v>
      </c>
      <c r="AO20" s="94">
        <f t="shared" si="16"/>
        <v>5.7395947653253428E-3</v>
      </c>
      <c r="AP20" s="94">
        <f t="shared" si="17"/>
        <v>2.5726629767346747</v>
      </c>
      <c r="AQ20" s="27"/>
      <c r="AR20" s="27"/>
      <c r="AS20" s="94">
        <f t="shared" si="18"/>
        <v>2.0668142277739731E-2</v>
      </c>
      <c r="AT20" s="94">
        <f t="shared" si="19"/>
        <v>1.0334071138869865E-2</v>
      </c>
      <c r="AU20" s="94">
        <f t="shared" si="20"/>
        <v>4.6320486558611309</v>
      </c>
      <c r="AV20" s="27"/>
      <c r="AW20" s="27"/>
      <c r="AX20" s="94">
        <f t="shared" si="21"/>
        <v>3.9039824302397261E-2</v>
      </c>
      <c r="AY20" s="94">
        <f t="shared" si="22"/>
        <v>1.951991215119863E-2</v>
      </c>
      <c r="AZ20" s="27">
        <f t="shared" si="23"/>
        <v>8.7494252388488007</v>
      </c>
      <c r="BA20" s="27"/>
      <c r="BB20" s="27"/>
      <c r="BC20" s="18"/>
      <c r="BG20" s="3"/>
      <c r="BJ20" s="3"/>
      <c r="BM20" s="3"/>
      <c r="BS20" s="107"/>
      <c r="BV20" s="107"/>
      <c r="BY20" s="107"/>
      <c r="DA20" s="27"/>
      <c r="DB20" s="27"/>
      <c r="DC20" s="27"/>
      <c r="DD20" s="27"/>
      <c r="DE20" s="27"/>
      <c r="DF20" s="27"/>
      <c r="DG20" s="27"/>
      <c r="DH20" s="27"/>
      <c r="DI20" s="27"/>
      <c r="DJ20" s="27"/>
      <c r="DK20" s="27"/>
      <c r="DL20" s="27"/>
      <c r="DM20" s="27"/>
      <c r="DN20" s="27"/>
      <c r="DO20" s="27"/>
      <c r="DP20" s="27"/>
      <c r="DQ20" s="27"/>
      <c r="DR20" s="27"/>
      <c r="DS20" s="121"/>
      <c r="DW20" s="3"/>
      <c r="DY20" s="38"/>
      <c r="DZ20" s="55"/>
      <c r="EA20" s="38"/>
      <c r="EB20" s="38"/>
      <c r="EC20" s="121"/>
      <c r="EG20" s="3"/>
      <c r="EI20" s="38"/>
      <c r="EJ20" s="55"/>
      <c r="EK20" s="38"/>
      <c r="EL20" s="198"/>
      <c r="EP20" s="3"/>
      <c r="ER20" s="38"/>
      <c r="ES20" s="55"/>
      <c r="ET20" s="38"/>
      <c r="EU20" s="198"/>
    </row>
    <row r="21" spans="1:151" x14ac:dyDescent="0.2">
      <c r="A21" s="3" t="s">
        <v>43</v>
      </c>
      <c r="B21">
        <v>1760</v>
      </c>
      <c r="C21">
        <v>7</v>
      </c>
      <c r="D21">
        <v>0.78</v>
      </c>
      <c r="F21" t="s">
        <v>44</v>
      </c>
      <c r="G21" t="s">
        <v>30</v>
      </c>
      <c r="H21" s="20"/>
      <c r="I21" s="21"/>
      <c r="J21">
        <v>7</v>
      </c>
      <c r="K21" s="94">
        <f t="shared" si="0"/>
        <v>3.50455E-2</v>
      </c>
      <c r="L21" s="97">
        <f t="shared" si="3"/>
        <v>6.3099000000000002E-2</v>
      </c>
      <c r="M21" s="94">
        <f t="shared" si="4"/>
        <v>0.119187</v>
      </c>
      <c r="N21">
        <v>0.78</v>
      </c>
      <c r="O21" s="27">
        <f t="shared" si="5"/>
        <v>0.19134843000000001</v>
      </c>
      <c r="P21" s="27">
        <f t="shared" si="6"/>
        <v>0.34452053999999999</v>
      </c>
      <c r="Q21" s="27">
        <f t="shared" si="7"/>
        <v>0.65076102000000002</v>
      </c>
      <c r="R21" s="27"/>
      <c r="S21" s="27"/>
      <c r="T21" s="27"/>
      <c r="U21" s="18"/>
      <c r="V21">
        <v>2.3999999999999998E-3</v>
      </c>
      <c r="W21">
        <v>0.99760000000000004</v>
      </c>
      <c r="X21" s="94">
        <f t="shared" si="8"/>
        <v>4.5923623200000001E-4</v>
      </c>
      <c r="Y21" s="94">
        <f t="shared" si="9"/>
        <v>8.2684929599999984E-4</v>
      </c>
      <c r="Z21" s="94">
        <f t="shared" si="10"/>
        <v>1.5618264479999998E-3</v>
      </c>
      <c r="AA21" s="94">
        <f t="shared" si="11"/>
        <v>0.19088919376800001</v>
      </c>
      <c r="AB21" s="94">
        <f t="shared" si="12"/>
        <v>0.34369369070400002</v>
      </c>
      <c r="AC21" s="94">
        <f t="shared" si="13"/>
        <v>0.64919919355200006</v>
      </c>
      <c r="AJ21" s="18"/>
      <c r="AK21">
        <v>2027</v>
      </c>
      <c r="AL21" s="34">
        <f t="shared" si="14"/>
        <v>0.23139269406392693</v>
      </c>
      <c r="AM21" s="34">
        <f t="shared" si="1"/>
        <v>0.76860730593607307</v>
      </c>
      <c r="AN21" s="94">
        <f t="shared" si="15"/>
        <v>4.417036481366849E-2</v>
      </c>
      <c r="AO21" s="94">
        <f t="shared" si="16"/>
        <v>2.2085182406834245E-2</v>
      </c>
      <c r="AP21" s="94">
        <f t="shared" si="17"/>
        <v>0.16880401136116577</v>
      </c>
      <c r="AQ21" s="27"/>
      <c r="AR21" s="27"/>
      <c r="AS21" s="94">
        <f t="shared" si="18"/>
        <v>7.9528209024772603E-2</v>
      </c>
      <c r="AT21" s="94">
        <f t="shared" si="19"/>
        <v>3.9764104512386302E-2</v>
      </c>
      <c r="AU21" s="94">
        <f t="shared" si="20"/>
        <v>0.30392958619161375</v>
      </c>
      <c r="AV21" s="27"/>
      <c r="AW21" s="27"/>
      <c r="AX21" s="94">
        <f t="shared" si="21"/>
        <v>0.15021995038012603</v>
      </c>
      <c r="AY21" s="94">
        <f t="shared" si="22"/>
        <v>7.5109975190063016E-2</v>
      </c>
      <c r="AZ21" s="27">
        <f t="shared" si="23"/>
        <v>0.57408921836193705</v>
      </c>
      <c r="BA21" s="27"/>
      <c r="BB21" s="27"/>
      <c r="BC21" s="18"/>
      <c r="BG21" s="3"/>
      <c r="BJ21" s="3"/>
      <c r="BM21" s="3"/>
      <c r="BS21" s="107"/>
      <c r="BV21" s="107"/>
      <c r="BY21" s="107"/>
      <c r="DA21" s="27"/>
      <c r="DB21" s="27"/>
      <c r="DC21" s="27"/>
      <c r="DD21" s="27"/>
      <c r="DE21" s="27"/>
      <c r="DF21" s="27"/>
      <c r="DG21" s="27"/>
      <c r="DH21" s="27"/>
      <c r="DI21" s="27"/>
      <c r="DJ21" s="27"/>
      <c r="DK21" s="27"/>
      <c r="DL21" s="27"/>
      <c r="DM21" s="27"/>
      <c r="DN21" s="27"/>
      <c r="DO21" s="27"/>
      <c r="DP21" s="27"/>
      <c r="DQ21" s="27"/>
      <c r="DR21" s="27"/>
      <c r="DS21" s="121"/>
      <c r="DW21" s="3"/>
      <c r="DY21" s="38"/>
      <c r="DZ21" s="55"/>
      <c r="EA21" s="38"/>
      <c r="EB21" s="38"/>
      <c r="EC21" s="121"/>
      <c r="EG21" s="3"/>
      <c r="EI21" s="38"/>
      <c r="EJ21" s="55"/>
      <c r="EK21" s="38"/>
      <c r="EL21" s="198"/>
      <c r="EP21" s="3"/>
      <c r="ER21" s="38"/>
      <c r="ES21" s="55"/>
      <c r="ET21" s="38"/>
      <c r="EU21" s="198"/>
    </row>
    <row r="22" spans="1:151" x14ac:dyDescent="0.2">
      <c r="A22" s="3" t="s">
        <v>45</v>
      </c>
      <c r="B22">
        <v>1760</v>
      </c>
      <c r="C22">
        <v>7</v>
      </c>
      <c r="D22">
        <v>14.26</v>
      </c>
      <c r="F22" t="s">
        <v>44</v>
      </c>
      <c r="G22" t="s">
        <v>30</v>
      </c>
      <c r="H22" s="20"/>
      <c r="I22" s="21"/>
      <c r="J22">
        <v>7</v>
      </c>
      <c r="K22" s="94">
        <f t="shared" si="0"/>
        <v>3.50455E-2</v>
      </c>
      <c r="L22" s="97">
        <f t="shared" si="3"/>
        <v>6.3099000000000002E-2</v>
      </c>
      <c r="M22" s="94">
        <f t="shared" si="4"/>
        <v>0.119187</v>
      </c>
      <c r="N22">
        <v>14.26</v>
      </c>
      <c r="O22" s="27">
        <f t="shared" si="5"/>
        <v>3.4982418099999997</v>
      </c>
      <c r="P22" s="27">
        <f t="shared" si="6"/>
        <v>6.2985421800000001</v>
      </c>
      <c r="Q22" s="27">
        <f t="shared" si="7"/>
        <v>11.897246339999999</v>
      </c>
      <c r="R22" s="27"/>
      <c r="S22" s="27"/>
      <c r="T22" s="27"/>
      <c r="U22" s="18"/>
      <c r="V22">
        <v>2.3999999999999998E-3</v>
      </c>
      <c r="W22">
        <v>0.99760000000000004</v>
      </c>
      <c r="X22" s="94">
        <f t="shared" si="8"/>
        <v>8.3957803439999989E-3</v>
      </c>
      <c r="Y22" s="94">
        <f t="shared" si="9"/>
        <v>1.5116501231999998E-2</v>
      </c>
      <c r="Z22" s="94">
        <f t="shared" si="10"/>
        <v>2.8553391215999993E-2</v>
      </c>
      <c r="AA22" s="94">
        <f t="shared" si="11"/>
        <v>3.4898460296559999</v>
      </c>
      <c r="AB22" s="94">
        <f t="shared" si="12"/>
        <v>6.2834256787680003</v>
      </c>
      <c r="AC22" s="94">
        <f t="shared" si="13"/>
        <v>11.868692948784</v>
      </c>
      <c r="AJ22" s="18"/>
      <c r="AK22">
        <v>1086</v>
      </c>
      <c r="AL22" s="34">
        <f>$AK22/8760</f>
        <v>0.12397260273972603</v>
      </c>
      <c r="AM22" s="34">
        <f t="shared" si="1"/>
        <v>0.87602739726027401</v>
      </c>
      <c r="AN22" s="94">
        <f t="shared" si="15"/>
        <v>0.43264529545735342</v>
      </c>
      <c r="AO22" s="94">
        <f t="shared" si="16"/>
        <v>0.21632264772867671</v>
      </c>
      <c r="AP22" s="94">
        <f t="shared" si="17"/>
        <v>3.2735233819273235</v>
      </c>
      <c r="AQ22" s="27"/>
      <c r="AR22" s="27"/>
      <c r="AS22" s="94">
        <f t="shared" si="18"/>
        <v>0.77897263551849871</v>
      </c>
      <c r="AT22" s="94">
        <f t="shared" si="19"/>
        <v>0.38948631775924936</v>
      </c>
      <c r="AU22" s="94">
        <f t="shared" si="20"/>
        <v>5.8939393610087514</v>
      </c>
      <c r="AV22" s="27"/>
      <c r="AW22" s="27"/>
      <c r="AX22" s="94">
        <f t="shared" si="21"/>
        <v>1.4713927559793865</v>
      </c>
      <c r="AY22" s="94">
        <f t="shared" si="22"/>
        <v>0.73569637798969323</v>
      </c>
      <c r="AZ22" s="27">
        <f t="shared" si="23"/>
        <v>11.132996570794308</v>
      </c>
      <c r="BA22" s="27"/>
      <c r="BB22" s="27"/>
      <c r="BC22" s="18"/>
      <c r="BG22" s="3"/>
      <c r="BJ22" s="3"/>
      <c r="BM22" s="3"/>
      <c r="BS22" s="107"/>
      <c r="BV22" s="107"/>
      <c r="BY22" s="107"/>
      <c r="DA22" s="27"/>
      <c r="DB22" s="27"/>
      <c r="DC22" s="27"/>
      <c r="DD22" s="27"/>
      <c r="DE22" s="27"/>
      <c r="DF22" s="27"/>
      <c r="DG22" s="27"/>
      <c r="DH22" s="27"/>
      <c r="DI22" s="27"/>
      <c r="DJ22" s="27"/>
      <c r="DK22" s="27"/>
      <c r="DL22" s="27"/>
      <c r="DM22" s="27"/>
      <c r="DN22" s="27"/>
      <c r="DO22" s="27"/>
      <c r="DP22" s="27"/>
      <c r="DQ22" s="27"/>
      <c r="DR22" s="27"/>
      <c r="DS22" s="121"/>
      <c r="DW22" s="3"/>
      <c r="DY22" s="38"/>
      <c r="DZ22" s="55"/>
      <c r="EA22" s="38"/>
      <c r="EB22" s="38"/>
      <c r="EC22" s="121"/>
      <c r="EG22" s="3"/>
      <c r="EI22" s="38"/>
      <c r="EJ22" s="55"/>
      <c r="EK22" s="38"/>
      <c r="EL22" s="198"/>
      <c r="EP22" s="3"/>
      <c r="ER22" s="38"/>
      <c r="ES22" s="55"/>
      <c r="ET22" s="38"/>
      <c r="EU22" s="198"/>
    </row>
    <row r="23" spans="1:151" x14ac:dyDescent="0.2">
      <c r="A23" s="3"/>
      <c r="E23" s="251"/>
      <c r="H23" s="20"/>
      <c r="I23" s="21"/>
      <c r="U23" s="18"/>
      <c r="AJ23" s="18"/>
      <c r="AS23" s="27"/>
      <c r="AT23" s="27"/>
      <c r="AU23" s="27"/>
      <c r="BC23" s="18"/>
      <c r="BG23" s="3"/>
      <c r="BJ23" s="3"/>
      <c r="BM23" s="3"/>
      <c r="BS23" s="107"/>
      <c r="BV23" s="107"/>
      <c r="BY23" s="107"/>
      <c r="DA23" s="27"/>
      <c r="DB23" s="27"/>
      <c r="DC23" s="27"/>
      <c r="DD23" s="27"/>
      <c r="DE23" s="27"/>
      <c r="DF23" s="27"/>
      <c r="DG23" s="27"/>
      <c r="DH23" s="27"/>
      <c r="DI23" s="27"/>
      <c r="DJ23" s="27"/>
      <c r="DK23" s="27"/>
      <c r="DL23" s="27"/>
      <c r="DM23" s="27"/>
      <c r="DN23" s="27"/>
      <c r="DO23" s="27"/>
      <c r="DP23" s="27"/>
      <c r="DQ23" s="27"/>
      <c r="DR23" s="27"/>
      <c r="DS23" s="121"/>
      <c r="DW23" s="3"/>
      <c r="DY23" s="38"/>
      <c r="DZ23" s="55"/>
      <c r="EA23" s="38"/>
      <c r="EB23" s="38"/>
      <c r="EC23" s="121"/>
      <c r="EG23" s="3"/>
      <c r="EI23" s="38"/>
      <c r="EJ23" s="55"/>
      <c r="EK23" s="38"/>
      <c r="EL23" s="198"/>
      <c r="EP23" s="3"/>
      <c r="ER23" s="38"/>
      <c r="ES23" s="55"/>
      <c r="ET23" s="38"/>
      <c r="EU23" s="198"/>
    </row>
    <row r="24" spans="1:151" ht="19" x14ac:dyDescent="0.25">
      <c r="A24" s="24" t="s">
        <v>134</v>
      </c>
      <c r="B24" s="11"/>
      <c r="C24" s="11"/>
      <c r="D24" s="11"/>
      <c r="E24" s="11"/>
      <c r="F24" s="11"/>
      <c r="G24" s="11"/>
      <c r="H24" s="20"/>
      <c r="I24" s="21"/>
      <c r="J24" s="11"/>
      <c r="K24" s="11"/>
      <c r="L24" s="11"/>
      <c r="M24" s="11"/>
      <c r="N24" s="11"/>
      <c r="O24" s="11"/>
      <c r="P24" s="11"/>
      <c r="Q24" s="11"/>
      <c r="R24" s="11"/>
      <c r="S24" s="11"/>
      <c r="T24" s="11"/>
      <c r="U24" s="18"/>
      <c r="AJ24" s="18"/>
      <c r="AK24" s="11"/>
      <c r="AL24" s="11"/>
      <c r="AM24" s="11"/>
      <c r="AN24" s="11"/>
      <c r="AO24" s="11"/>
      <c r="AP24" s="11"/>
      <c r="AQ24" s="11"/>
      <c r="AR24" s="11"/>
      <c r="AS24" s="11"/>
      <c r="AT24" s="11"/>
      <c r="AU24" s="11"/>
      <c r="AV24" s="11"/>
      <c r="AW24" s="11"/>
      <c r="AX24" s="11"/>
      <c r="AY24" s="11"/>
      <c r="AZ24" s="11"/>
      <c r="BA24" s="11"/>
      <c r="BB24" s="11"/>
      <c r="BC24" s="18"/>
      <c r="BD24" s="11"/>
      <c r="BE24" s="11"/>
      <c r="BF24" s="11"/>
      <c r="BG24" s="48"/>
      <c r="BH24" s="11"/>
      <c r="BI24" s="11"/>
      <c r="BJ24" s="48"/>
      <c r="BK24" s="11"/>
      <c r="BL24" s="11"/>
      <c r="BM24" s="48"/>
      <c r="BN24" s="11"/>
      <c r="BO24" s="11"/>
      <c r="BQ24" s="48"/>
      <c r="BR24" s="11"/>
      <c r="BS24" s="125"/>
      <c r="BT24" s="11"/>
      <c r="BU24" s="11"/>
      <c r="BV24" s="125"/>
      <c r="BW24" s="11"/>
      <c r="BX24" s="11"/>
      <c r="BY24" s="125"/>
      <c r="BZ24" s="11"/>
      <c r="CA24" s="11"/>
      <c r="CB24" s="11"/>
      <c r="CD24" s="48"/>
      <c r="CE24" s="125"/>
      <c r="CF24" s="139"/>
      <c r="CG24" s="139"/>
      <c r="CH24" s="139"/>
      <c r="CI24" s="139"/>
      <c r="CJ24" s="139"/>
      <c r="CK24" s="174"/>
      <c r="CL24" s="139"/>
      <c r="CM24" s="139"/>
      <c r="CN24" s="139"/>
      <c r="CO24" s="139"/>
      <c r="CP24" s="139"/>
      <c r="CQ24" s="174"/>
      <c r="CR24" s="139"/>
      <c r="CS24" s="139"/>
      <c r="CT24" s="139"/>
      <c r="CU24" s="139"/>
      <c r="CV24" s="139"/>
      <c r="CW24" s="139"/>
      <c r="CY24" s="139"/>
      <c r="CZ24" s="139"/>
      <c r="DA24" s="139"/>
      <c r="DB24" s="139"/>
      <c r="DC24" s="139"/>
      <c r="DD24" s="139"/>
      <c r="DE24" s="139"/>
      <c r="DF24" s="139"/>
      <c r="DG24" s="139"/>
      <c r="DH24" s="139"/>
      <c r="DI24" s="139"/>
      <c r="DJ24" s="139"/>
      <c r="DK24" s="139"/>
      <c r="DL24" s="139"/>
      <c r="DM24" s="139"/>
      <c r="DN24" s="139"/>
      <c r="DO24" s="139"/>
      <c r="DP24" s="139"/>
      <c r="DQ24" s="139"/>
      <c r="DR24" s="139"/>
      <c r="DS24" s="121"/>
      <c r="DT24" s="11"/>
      <c r="DU24" s="11"/>
      <c r="DV24" s="39"/>
      <c r="DW24" s="48"/>
      <c r="DX24" s="11"/>
      <c r="DY24" s="39"/>
      <c r="DZ24" s="56"/>
      <c r="EA24" s="39"/>
      <c r="EB24" s="39"/>
      <c r="EC24" s="121"/>
      <c r="ED24" s="11"/>
      <c r="EE24" s="11"/>
      <c r="EF24" s="39"/>
      <c r="EG24" s="48"/>
      <c r="EH24" s="11"/>
      <c r="EI24" s="39"/>
      <c r="EJ24" s="56"/>
      <c r="EK24" s="39"/>
      <c r="EL24" s="194"/>
      <c r="EM24" s="11"/>
      <c r="EN24" s="11"/>
      <c r="EO24" s="39"/>
      <c r="EP24" s="48"/>
      <c r="EQ24" s="11"/>
      <c r="ER24" s="39"/>
      <c r="ES24" s="56"/>
      <c r="ET24" s="39"/>
      <c r="EU24" s="194"/>
    </row>
    <row r="25" spans="1:151" x14ac:dyDescent="0.2">
      <c r="A25" s="3" t="s">
        <v>47</v>
      </c>
      <c r="B25">
        <v>1362</v>
      </c>
      <c r="C25">
        <v>101</v>
      </c>
      <c r="D25">
        <v>14.28</v>
      </c>
      <c r="E25">
        <v>0.57999999999999996</v>
      </c>
      <c r="F25" s="2">
        <f t="shared" ref="F25:F36" si="24">B25*E25</f>
        <v>789.95999999999992</v>
      </c>
      <c r="G25" t="s">
        <v>11</v>
      </c>
      <c r="H25" s="20"/>
      <c r="I25" s="21"/>
      <c r="J25">
        <v>790</v>
      </c>
      <c r="K25" s="94">
        <f t="shared" ref="K25:K50" si="25" xml:space="preserve"> 0.0019 * 18.445</f>
        <v>3.50455E-2</v>
      </c>
      <c r="L25" s="97">
        <f t="shared" ref="L25:L50" si="26" xml:space="preserve"> 3.69 * 0.0171</f>
        <v>6.3099000000000002E-2</v>
      </c>
      <c r="M25" s="94">
        <f t="shared" ref="M25:M50" si="27" xml:space="preserve"> 3.69 * 0.0323</f>
        <v>0.119187</v>
      </c>
      <c r="N25">
        <v>14.28</v>
      </c>
      <c r="O25" s="27">
        <f t="shared" ref="O25:O50" si="28" xml:space="preserve"> J25 * K25 * N25</f>
        <v>395.35529459999998</v>
      </c>
      <c r="P25" s="27">
        <f t="shared" ref="P25:P50" si="29" xml:space="preserve"> J25 * L25 * N25</f>
        <v>711.83243879999998</v>
      </c>
      <c r="Q25" s="27">
        <f t="shared" ref="Q25:Q50" si="30" xml:space="preserve"> J25 * M25 * N25</f>
        <v>1344.5723843999999</v>
      </c>
      <c r="R25" s="27">
        <f xml:space="preserve"> SUM(O25:O50)</f>
        <v>1567.5859159100003</v>
      </c>
      <c r="S25" s="27">
        <f xml:space="preserve"> SUM(P25:P50)</f>
        <v>2822.4195319800001</v>
      </c>
      <c r="T25" s="27">
        <f xml:space="preserve"> SUM(Q25:Q50)</f>
        <v>5331.2368937400006</v>
      </c>
      <c r="U25" s="18"/>
      <c r="V25">
        <v>2.3999999999999998E-3</v>
      </c>
      <c r="W25">
        <v>0.99760000000000004</v>
      </c>
      <c r="X25" s="94">
        <f t="shared" ref="X25:X50" si="31" xml:space="preserve"> O25 * V25</f>
        <v>0.94885270703999991</v>
      </c>
      <c r="Y25" s="94">
        <f t="shared" ref="Y25:Y50" si="32" xml:space="preserve"> P25 * V25</f>
        <v>1.7083978531199997</v>
      </c>
      <c r="Z25" s="94">
        <f t="shared" ref="Z25:Z50" si="33" xml:space="preserve"> Q25 * V25</f>
        <v>3.2269737225599995</v>
      </c>
      <c r="AA25" s="94">
        <f t="shared" ref="AA25:AA50" si="34" xml:space="preserve"> O25 * W25</f>
        <v>394.40644189296</v>
      </c>
      <c r="AB25" s="94">
        <f t="shared" ref="AB25:AB50" si="35" xml:space="preserve"> P25 * W25</f>
        <v>710.12404094687997</v>
      </c>
      <c r="AC25" s="94">
        <f t="shared" ref="AC25:AC50" si="36" xml:space="preserve"> Q25 * W25</f>
        <v>1341.34541067744</v>
      </c>
      <c r="AD25" s="27">
        <f xml:space="preserve"> R25 * V25</f>
        <v>3.7622061981840003</v>
      </c>
      <c r="AE25" s="27">
        <f xml:space="preserve"> S25 * V25</f>
        <v>6.7738068767519994</v>
      </c>
      <c r="AF25" s="27">
        <f xml:space="preserve"> T25 * V25</f>
        <v>12.794968544976001</v>
      </c>
      <c r="AG25" s="27">
        <f xml:space="preserve"> R25 * W25</f>
        <v>1563.8237097118163</v>
      </c>
      <c r="AH25" s="27">
        <f xml:space="preserve"> S25 * W25</f>
        <v>2815.6457251032484</v>
      </c>
      <c r="AI25" s="27">
        <f xml:space="preserve"> T25  * W25</f>
        <v>5318.4419251950249</v>
      </c>
      <c r="AJ25" s="18"/>
      <c r="AK25">
        <v>426</v>
      </c>
      <c r="AL25" s="34">
        <f>$AK25/8760</f>
        <v>4.8630136986301371E-2</v>
      </c>
      <c r="AM25" s="34">
        <f t="shared" ref="AM25:AM35" si="37">1- AL25</f>
        <v>0.95136986301369864</v>
      </c>
      <c r="AN25" s="94">
        <f t="shared" ref="AN25:AN50" si="38" xml:space="preserve"> AA25*AL25</f>
        <v>19.180039297534357</v>
      </c>
      <c r="AO25" s="94">
        <f t="shared" ref="AO25:AO50" si="39" xml:space="preserve"> AN25 / 2</f>
        <v>9.5900196487671785</v>
      </c>
      <c r="AP25" s="94">
        <f t="shared" ref="AP25:AP35" si="40" xml:space="preserve"> AA25*AM25 + AO25</f>
        <v>384.81642224419284</v>
      </c>
      <c r="AQ25" s="27">
        <f xml:space="preserve"> SUM(AO25:AO50)</f>
        <v>16.780382184474661</v>
      </c>
      <c r="AR25" s="27">
        <f xml:space="preserve"> SUM(AP25:AP50)</f>
        <v>1547.0433275273415</v>
      </c>
      <c r="AS25" s="94">
        <f t="shared" ref="AS25:AS50" si="41" xml:space="preserve"> AB25 * AL25</f>
        <v>34.533429388512658</v>
      </c>
      <c r="AT25" s="94">
        <f t="shared" ref="AT25:AT35" si="42" xml:space="preserve"> AS25 / 2</f>
        <v>17.266714694256329</v>
      </c>
      <c r="AU25" s="94">
        <f t="shared" ref="AU25:AU50" si="43" xml:space="preserve"> AB25 * AM25 + AT25</f>
        <v>692.85732625262358</v>
      </c>
      <c r="AV25" s="27">
        <f xml:space="preserve"> SUM(AT25:AT50)</f>
        <v>30.212875703247686</v>
      </c>
      <c r="AW25" s="27">
        <f xml:space="preserve"> SUM(AU25:AU50)</f>
        <v>2785.4328494000001</v>
      </c>
      <c r="AX25" s="94">
        <f t="shared" ref="AX25:AX50" si="44" xml:space="preserve"> AC25 * AL25</f>
        <v>65.229811067190582</v>
      </c>
      <c r="AY25" s="94">
        <f t="shared" ref="AY25:AY50" si="45" xml:space="preserve"> AX25 / 2</f>
        <v>32.614905533595291</v>
      </c>
      <c r="AZ25" s="27">
        <f t="shared" ref="AZ25:AZ35" si="46" xml:space="preserve"> AC25 * AM25 + AY25</f>
        <v>1308.7305051438445</v>
      </c>
      <c r="BA25" s="27">
        <f xml:space="preserve"> SUM(AY25:AY50)</f>
        <v>57.06876521724562</v>
      </c>
      <c r="BB25" s="27">
        <f xml:space="preserve"> SUM(AZ25:AZ50)</f>
        <v>5261.3731599777793</v>
      </c>
      <c r="BC25" s="117"/>
      <c r="BD25" s="264">
        <v>0.1152</v>
      </c>
      <c r="BE25" s="264">
        <v>5.4199999999999998E-2</v>
      </c>
      <c r="BF25" s="247">
        <v>2.3E-2</v>
      </c>
      <c r="BG25" s="255">
        <f xml:space="preserve"> AR25 * BD25</f>
        <v>178.21939133114972</v>
      </c>
      <c r="BH25" s="255">
        <f xml:space="preserve"> AR25 * BE25</f>
        <v>83.849748351981901</v>
      </c>
      <c r="BI25" s="255">
        <f xml:space="preserve"> AR25 * BF25</f>
        <v>35.581996533128851</v>
      </c>
      <c r="BJ25" s="255">
        <f xml:space="preserve"> AW25 * BD25</f>
        <v>320.88186425088003</v>
      </c>
      <c r="BK25" s="255">
        <f xml:space="preserve"> AW25 * BE25</f>
        <v>150.97046043748</v>
      </c>
      <c r="BL25" s="255">
        <f xml:space="preserve"> AW25 * BF25</f>
        <v>64.064955536200003</v>
      </c>
      <c r="BM25" s="255">
        <f xml:space="preserve"> BB25 * BD25</f>
        <v>606.11018802944011</v>
      </c>
      <c r="BN25" s="255">
        <f xml:space="preserve"> BB25 * BE25</f>
        <v>285.16642527079563</v>
      </c>
      <c r="BO25" s="255">
        <f xml:space="preserve"> BB25 * BF25</f>
        <v>121.01158267948892</v>
      </c>
      <c r="BQ25" s="34">
        <f xml:space="preserve"> 1 - BD25</f>
        <v>0.88480000000000003</v>
      </c>
      <c r="BR25" s="34">
        <f xml:space="preserve"> 1 - BE25</f>
        <v>0.94579999999999997</v>
      </c>
      <c r="BS25">
        <f xml:space="preserve"> 1 - BF25</f>
        <v>0.97699999999999998</v>
      </c>
      <c r="BT25" s="47">
        <f xml:space="preserve"> AR25 * BQ25</f>
        <v>1368.8239361961919</v>
      </c>
      <c r="BU25" s="27">
        <f xml:space="preserve"> AR25 * BR25</f>
        <v>1463.1935791753594</v>
      </c>
      <c r="BV25" s="27">
        <f xml:space="preserve"> AR25 * BS25</f>
        <v>1511.4613309942126</v>
      </c>
      <c r="BW25" s="47">
        <f xml:space="preserve"> AW25 * BQ25</f>
        <v>2464.5509851491202</v>
      </c>
      <c r="BX25" s="27">
        <f xml:space="preserve"> AW25 * BR25</f>
        <v>2634.46238896252</v>
      </c>
      <c r="BY25" s="27">
        <f xml:space="preserve"> AW25 * BS25</f>
        <v>2721.3678938638</v>
      </c>
      <c r="BZ25" s="47">
        <f xml:space="preserve"> BB25 * BQ25</f>
        <v>4655.2629719483393</v>
      </c>
      <c r="CA25" s="27">
        <f xml:space="preserve"> BB25 * BR25</f>
        <v>4976.2067347069833</v>
      </c>
      <c r="CB25" s="27">
        <f xml:space="preserve"> BB25 * BS25</f>
        <v>5140.3615772982903</v>
      </c>
      <c r="CD25">
        <f xml:space="preserve"> 1 - 0.32</f>
        <v>0.67999999999999994</v>
      </c>
      <c r="CE25">
        <f>1-0.68</f>
        <v>0.31999999999999995</v>
      </c>
      <c r="CF25" s="27">
        <f xml:space="preserve"> BT25 * CD25</f>
        <v>930.80027661341035</v>
      </c>
      <c r="CG25" s="27">
        <f xml:space="preserve"> BT25 * CE25</f>
        <v>438.02365958278136</v>
      </c>
      <c r="CH25" s="27">
        <f xml:space="preserve"> BU25 * CD25</f>
        <v>994.9716338392443</v>
      </c>
      <c r="CI25" s="27">
        <f xml:space="preserve"> BU25 * CE25</f>
        <v>468.22194533611497</v>
      </c>
      <c r="CJ25" s="27">
        <f xml:space="preserve"> BV25 * CD25</f>
        <v>1027.7937050760645</v>
      </c>
      <c r="CK25" s="27">
        <f xml:space="preserve"> BV25 * CE25</f>
        <v>483.66762591814796</v>
      </c>
      <c r="CL25" s="27">
        <f xml:space="preserve"> BW25 * CD25</f>
        <v>1675.8946699014016</v>
      </c>
      <c r="CM25" s="27">
        <f xml:space="preserve"> BW25 * CE25</f>
        <v>788.65631524771834</v>
      </c>
      <c r="CN25" s="27">
        <f xml:space="preserve"> BX25 * CD25</f>
        <v>1791.4344244945135</v>
      </c>
      <c r="CO25" s="27">
        <f xml:space="preserve"> BX25 * CE25</f>
        <v>843.0279644680063</v>
      </c>
      <c r="CP25" s="27">
        <f xml:space="preserve"> BY25 * CD25</f>
        <v>1850.5301678273838</v>
      </c>
      <c r="CQ25" s="27">
        <f xml:space="preserve"> BY25 * CE25</f>
        <v>870.8377260364158</v>
      </c>
      <c r="CR25" s="27">
        <f xml:space="preserve"> BZ25 * CD25</f>
        <v>3165.5788209248703</v>
      </c>
      <c r="CS25" s="27">
        <f xml:space="preserve"> BZ25 * CE25</f>
        <v>1489.6841510234683</v>
      </c>
      <c r="CT25" s="27">
        <f xml:space="preserve"> CA25 * CD25</f>
        <v>3383.8205796007483</v>
      </c>
      <c r="CU25" s="27">
        <f xml:space="preserve"> CA25 * CE25</f>
        <v>1592.3861551062344</v>
      </c>
      <c r="CV25" s="27">
        <f xml:space="preserve"> CB25 * CD25</f>
        <v>3495.4458725628369</v>
      </c>
      <c r="CW25" s="27">
        <f xml:space="preserve"> CB25 * CE25</f>
        <v>1644.9157047354527</v>
      </c>
      <c r="CY25">
        <f xml:space="preserve"> 1 - 0.01</f>
        <v>0.99</v>
      </c>
      <c r="CZ25">
        <v>0.75</v>
      </c>
      <c r="DA25" s="27">
        <f xml:space="preserve"> CF25 * CY25</f>
        <v>921.49227384727624</v>
      </c>
      <c r="DB25" s="27">
        <f xml:space="preserve"> CH25 * CY25</f>
        <v>985.02191750085183</v>
      </c>
      <c r="DC25" s="27">
        <f xml:space="preserve"> CJ25 * CY25</f>
        <v>1017.5157680253038</v>
      </c>
      <c r="DD25" s="27">
        <f xml:space="preserve"> CL25 * CY25</f>
        <v>1659.1357232023875</v>
      </c>
      <c r="DE25" s="27">
        <f xml:space="preserve"> CN25 * CY25</f>
        <v>1773.5200802495683</v>
      </c>
      <c r="DF25" s="27">
        <f xml:space="preserve"> CP25 * CY25</f>
        <v>1832.02486614911</v>
      </c>
      <c r="DG25" s="27">
        <f xml:space="preserve"> CR25 * CY25</f>
        <v>3133.9230327156215</v>
      </c>
      <c r="DH25" s="27">
        <f xml:space="preserve"> CT25 * CY25</f>
        <v>3349.9823738047407</v>
      </c>
      <c r="DI25" s="27">
        <f xml:space="preserve"> CV25 * CY25</f>
        <v>3460.4914138372087</v>
      </c>
      <c r="DJ25" s="27">
        <f xml:space="preserve"> CF25 * CZ25</f>
        <v>698.10020746005773</v>
      </c>
      <c r="DK25" s="27">
        <f xml:space="preserve"> CH25 * CZ25</f>
        <v>746.22872537943317</v>
      </c>
      <c r="DL25" s="27">
        <f xml:space="preserve"> CJ25 * CZ25</f>
        <v>770.84527880704832</v>
      </c>
      <c r="DM25" s="27">
        <f xml:space="preserve"> CL25 * CZ25</f>
        <v>1256.9210024260512</v>
      </c>
      <c r="DN25" s="27">
        <f xml:space="preserve"> CN25 * CZ25</f>
        <v>1343.5758183708851</v>
      </c>
      <c r="DO25" s="27">
        <f xml:space="preserve"> CP25 * CZ25</f>
        <v>1387.8976258705379</v>
      </c>
      <c r="DP25" s="27">
        <f xml:space="preserve"> CR25 * CZ25</f>
        <v>2374.1841156936525</v>
      </c>
      <c r="DQ25" s="27">
        <f xml:space="preserve"> CT25 * CZ25</f>
        <v>2537.8654347005613</v>
      </c>
      <c r="DR25" s="27">
        <f xml:space="preserve"> CV25 * CZ25</f>
        <v>2621.5844044221276</v>
      </c>
      <c r="DS25" s="121"/>
      <c r="DT25" s="27">
        <f>AQ25 + BG25 + AD25</f>
        <v>198.76197971380839</v>
      </c>
      <c r="DU25" s="27">
        <f>AQ25 + BH25 +AD25</f>
        <v>104.39233673464057</v>
      </c>
      <c r="DV25" s="27">
        <f>AQ25 + BI25 +AD25</f>
        <v>56.124584915787516</v>
      </c>
      <c r="DW25" s="27">
        <f>AV25 + BJ25 +AE25</f>
        <v>357.86854683087972</v>
      </c>
      <c r="DX25" s="27">
        <f xml:space="preserve"> AV25 + BK25 +AE25</f>
        <v>187.95714301747967</v>
      </c>
      <c r="DY25" s="27">
        <f>AV25 +BL25 +AE25</f>
        <v>101.0516381161997</v>
      </c>
      <c r="DZ25" s="27">
        <f xml:space="preserve"> BA25 + BM25 +AF25</f>
        <v>675.97392179166172</v>
      </c>
      <c r="EA25" s="27">
        <f xml:space="preserve"> BA25 + BN25 +AF25</f>
        <v>355.0301590330173</v>
      </c>
      <c r="EB25" s="27">
        <f>BA25 + BO25 +AF25</f>
        <v>190.87531644171054</v>
      </c>
      <c r="EC25" s="121"/>
      <c r="ED25" s="27">
        <f xml:space="preserve"> DJ25 + DT25</f>
        <v>896.86218717386612</v>
      </c>
      <c r="EE25" s="27">
        <f xml:space="preserve"> DK25 + DU25</f>
        <v>850.62106211407377</v>
      </c>
      <c r="EF25" s="27">
        <f>DL25 + DV25</f>
        <v>826.96986372283584</v>
      </c>
      <c r="EG25" s="47">
        <f t="shared" ref="EG25:EL25" si="47" xml:space="preserve"> DM25 + DW25</f>
        <v>1614.789549256931</v>
      </c>
      <c r="EH25" s="27">
        <f t="shared" si="47"/>
        <v>1531.5329613883648</v>
      </c>
      <c r="EI25" s="42">
        <f t="shared" si="47"/>
        <v>1488.9492639867376</v>
      </c>
      <c r="EJ25" s="54">
        <f t="shared" si="47"/>
        <v>3050.1580374853143</v>
      </c>
      <c r="EK25" s="42">
        <f t="shared" si="47"/>
        <v>2892.8955937335786</v>
      </c>
      <c r="EL25" s="197">
        <f t="shared" si="47"/>
        <v>2812.4597208638379</v>
      </c>
      <c r="EM25" s="27">
        <f xml:space="preserve"> DT25 + DA25</f>
        <v>1120.2542535610846</v>
      </c>
      <c r="EN25" s="27">
        <f xml:space="preserve"> DB25 + DU25</f>
        <v>1089.4142542354923</v>
      </c>
      <c r="EO25" s="27">
        <f xml:space="preserve"> DV25 + DC25</f>
        <v>1073.6403529410914</v>
      </c>
      <c r="EP25" s="47">
        <f xml:space="preserve"> DD25 + DW25</f>
        <v>2017.0042700332672</v>
      </c>
      <c r="EQ25" s="27">
        <f xml:space="preserve"> DE25 + DX25</f>
        <v>1961.477223267048</v>
      </c>
      <c r="ER25" s="42">
        <f xml:space="preserve"> DF25 + DY25</f>
        <v>1933.0765042653097</v>
      </c>
      <c r="ES25" s="54">
        <f xml:space="preserve"> DG25 + DZ25</f>
        <v>3809.8969545072832</v>
      </c>
      <c r="ET25" s="42">
        <f xml:space="preserve"> DH25 +EA25</f>
        <v>3705.012532837758</v>
      </c>
      <c r="EU25" s="197">
        <f xml:space="preserve"> DI25 + EB25</f>
        <v>3651.366730278919</v>
      </c>
    </row>
    <row r="26" spans="1:151" x14ac:dyDescent="0.2">
      <c r="A26" s="3" t="s">
        <v>48</v>
      </c>
      <c r="B26">
        <v>2369</v>
      </c>
      <c r="C26">
        <v>1327</v>
      </c>
      <c r="D26">
        <v>0.63</v>
      </c>
      <c r="E26">
        <v>0.32</v>
      </c>
      <c r="F26" s="2">
        <f t="shared" si="24"/>
        <v>758.08</v>
      </c>
      <c r="G26" t="s">
        <v>11</v>
      </c>
      <c r="H26" s="20"/>
      <c r="I26" s="21"/>
      <c r="J26">
        <v>758</v>
      </c>
      <c r="K26" s="94">
        <f t="shared" si="25"/>
        <v>3.50455E-2</v>
      </c>
      <c r="L26" s="97">
        <f t="shared" si="26"/>
        <v>6.3099000000000002E-2</v>
      </c>
      <c r="M26" s="94">
        <f t="shared" si="27"/>
        <v>0.119187</v>
      </c>
      <c r="N26">
        <v>0.63</v>
      </c>
      <c r="O26" s="27">
        <f t="shared" si="28"/>
        <v>16.735628070000001</v>
      </c>
      <c r="P26" s="27">
        <f t="shared" si="29"/>
        <v>30.132296459999999</v>
      </c>
      <c r="Q26" s="27">
        <f t="shared" si="30"/>
        <v>56.916559979999995</v>
      </c>
      <c r="R26" s="27"/>
      <c r="S26" s="27"/>
      <c r="T26" s="27"/>
      <c r="U26" s="18"/>
      <c r="V26">
        <v>2.3999999999999998E-3</v>
      </c>
      <c r="W26">
        <v>0.99760000000000004</v>
      </c>
      <c r="X26" s="94">
        <f t="shared" si="31"/>
        <v>4.0165507367999995E-2</v>
      </c>
      <c r="Y26" s="94">
        <f t="shared" si="32"/>
        <v>7.2317511503999996E-2</v>
      </c>
      <c r="Z26" s="94">
        <f t="shared" si="33"/>
        <v>0.13659974395199997</v>
      </c>
      <c r="AA26" s="94">
        <f t="shared" si="34"/>
        <v>16.695462562632002</v>
      </c>
      <c r="AB26" s="94">
        <f t="shared" si="35"/>
        <v>30.059978948495999</v>
      </c>
      <c r="AC26" s="94">
        <f t="shared" si="36"/>
        <v>56.779960236047998</v>
      </c>
      <c r="AJ26" s="18"/>
      <c r="AK26">
        <v>471</v>
      </c>
      <c r="AL26" s="34">
        <f t="shared" ref="AL26:AL50" si="48">$AK26/8760</f>
        <v>5.3767123287671234E-2</v>
      </c>
      <c r="AM26" s="34">
        <f t="shared" si="37"/>
        <v>0.94623287671232881</v>
      </c>
      <c r="AN26" s="94">
        <f t="shared" si="38"/>
        <v>0.89766699394973437</v>
      </c>
      <c r="AO26" s="94">
        <f t="shared" si="39"/>
        <v>0.44883349697486719</v>
      </c>
      <c r="AP26" s="94">
        <f t="shared" si="40"/>
        <v>16.246629065657135</v>
      </c>
      <c r="AQ26" s="27"/>
      <c r="AR26" s="27"/>
      <c r="AS26" s="94">
        <f t="shared" si="41"/>
        <v>1.6162385941485864</v>
      </c>
      <c r="AT26" s="94">
        <f t="shared" si="42"/>
        <v>0.8081192970742932</v>
      </c>
      <c r="AU26" s="94">
        <f t="shared" si="43"/>
        <v>29.251859651421707</v>
      </c>
      <c r="AV26" s="27"/>
      <c r="AW26" s="27"/>
      <c r="AX26" s="94">
        <f t="shared" si="44"/>
        <v>3.0528951222806628</v>
      </c>
      <c r="AY26" s="94">
        <f t="shared" si="45"/>
        <v>1.5264475611403314</v>
      </c>
      <c r="AZ26" s="27">
        <f t="shared" si="46"/>
        <v>55.253512674907668</v>
      </c>
      <c r="BA26" s="27"/>
      <c r="BB26" s="27"/>
      <c r="BC26" s="18"/>
    </row>
    <row r="27" spans="1:151" x14ac:dyDescent="0.2">
      <c r="A27" s="3" t="s">
        <v>49</v>
      </c>
      <c r="B27">
        <v>1522</v>
      </c>
      <c r="C27">
        <v>1386</v>
      </c>
      <c r="D27">
        <v>1.43</v>
      </c>
      <c r="E27">
        <v>0.42299999999999999</v>
      </c>
      <c r="F27" s="2">
        <f t="shared" si="24"/>
        <v>643.80599999999993</v>
      </c>
      <c r="G27" t="s">
        <v>11</v>
      </c>
      <c r="H27" s="20"/>
      <c r="I27" s="21"/>
      <c r="J27">
        <v>644</v>
      </c>
      <c r="K27" s="94">
        <f t="shared" si="25"/>
        <v>3.50455E-2</v>
      </c>
      <c r="L27" s="97">
        <f t="shared" si="26"/>
        <v>6.3099000000000002E-2</v>
      </c>
      <c r="M27" s="94">
        <f t="shared" si="27"/>
        <v>0.119187</v>
      </c>
      <c r="N27">
        <v>1.43</v>
      </c>
      <c r="O27" s="27">
        <f t="shared" si="28"/>
        <v>32.274101860000002</v>
      </c>
      <c r="P27" s="27">
        <f t="shared" si="29"/>
        <v>58.109131079999997</v>
      </c>
      <c r="Q27" s="27">
        <f t="shared" si="30"/>
        <v>109.76169204</v>
      </c>
      <c r="R27" s="27"/>
      <c r="S27" s="27"/>
      <c r="T27" s="27"/>
      <c r="U27" s="18"/>
      <c r="V27">
        <v>2.3999999999999998E-3</v>
      </c>
      <c r="W27">
        <v>0.99760000000000004</v>
      </c>
      <c r="X27" s="94">
        <f t="shared" si="31"/>
        <v>7.7457844464000003E-2</v>
      </c>
      <c r="Y27" s="94">
        <f t="shared" si="32"/>
        <v>0.13946191459199997</v>
      </c>
      <c r="Z27" s="94">
        <f t="shared" si="33"/>
        <v>0.26342806089599996</v>
      </c>
      <c r="AA27" s="94">
        <f t="shared" si="34"/>
        <v>32.196644015536002</v>
      </c>
      <c r="AB27" s="94">
        <f t="shared" si="35"/>
        <v>57.969669165408</v>
      </c>
      <c r="AC27" s="94">
        <f t="shared" si="36"/>
        <v>109.49826397910401</v>
      </c>
      <c r="AJ27" s="18"/>
      <c r="AK27">
        <v>0</v>
      </c>
      <c r="AL27" s="34">
        <f t="shared" si="48"/>
        <v>0</v>
      </c>
      <c r="AM27" s="34">
        <f t="shared" si="37"/>
        <v>1</v>
      </c>
      <c r="AN27" s="94">
        <f t="shared" si="38"/>
        <v>0</v>
      </c>
      <c r="AO27" s="94">
        <f t="shared" si="39"/>
        <v>0</v>
      </c>
      <c r="AP27" s="94">
        <f t="shared" si="40"/>
        <v>32.196644015536002</v>
      </c>
      <c r="AQ27" s="27"/>
      <c r="AR27" s="27"/>
      <c r="AS27" s="94">
        <f t="shared" si="41"/>
        <v>0</v>
      </c>
      <c r="AT27" s="94">
        <f t="shared" si="42"/>
        <v>0</v>
      </c>
      <c r="AU27" s="94">
        <f t="shared" si="43"/>
        <v>57.969669165408</v>
      </c>
      <c r="AV27" s="27"/>
      <c r="AW27" s="27"/>
      <c r="AX27" s="94">
        <f t="shared" si="44"/>
        <v>0</v>
      </c>
      <c r="AY27" s="94">
        <f t="shared" si="45"/>
        <v>0</v>
      </c>
      <c r="AZ27" s="27">
        <f t="shared" si="46"/>
        <v>109.49826397910401</v>
      </c>
      <c r="BA27" s="27"/>
      <c r="BB27" s="27"/>
      <c r="BC27" s="18"/>
    </row>
    <row r="28" spans="1:151" x14ac:dyDescent="0.2">
      <c r="A28" s="3" t="s">
        <v>50</v>
      </c>
      <c r="B28">
        <v>1607</v>
      </c>
      <c r="C28">
        <v>1723</v>
      </c>
      <c r="D28">
        <v>0.67</v>
      </c>
      <c r="E28">
        <v>0.66</v>
      </c>
      <c r="F28" s="2">
        <f t="shared" si="24"/>
        <v>1060.6200000000001</v>
      </c>
      <c r="G28" t="s">
        <v>11</v>
      </c>
      <c r="H28" s="20"/>
      <c r="I28" s="21"/>
      <c r="J28">
        <v>1061</v>
      </c>
      <c r="K28" s="94">
        <f t="shared" si="25"/>
        <v>3.50455E-2</v>
      </c>
      <c r="L28" s="97">
        <f t="shared" si="26"/>
        <v>6.3099000000000002E-2</v>
      </c>
      <c r="M28" s="94">
        <f t="shared" si="27"/>
        <v>0.119187</v>
      </c>
      <c r="N28">
        <v>0.67</v>
      </c>
      <c r="O28" s="27">
        <f t="shared" si="28"/>
        <v>24.912794585</v>
      </c>
      <c r="P28" s="27">
        <f t="shared" si="29"/>
        <v>44.855186130000007</v>
      </c>
      <c r="Q28" s="27">
        <f t="shared" si="30"/>
        <v>84.726462690000005</v>
      </c>
      <c r="R28" s="27"/>
      <c r="S28" s="27"/>
      <c r="T28" s="27"/>
      <c r="U28" s="18"/>
      <c r="V28">
        <v>2.3999999999999998E-3</v>
      </c>
      <c r="W28">
        <v>0.99760000000000004</v>
      </c>
      <c r="X28" s="94">
        <f t="shared" si="31"/>
        <v>5.9790707003999993E-2</v>
      </c>
      <c r="Y28" s="94">
        <f t="shared" si="32"/>
        <v>0.10765244671200001</v>
      </c>
      <c r="Z28" s="94">
        <f t="shared" si="33"/>
        <v>0.20334351045599999</v>
      </c>
      <c r="AA28" s="94">
        <f t="shared" si="34"/>
        <v>24.853003877996002</v>
      </c>
      <c r="AB28" s="94">
        <f t="shared" si="35"/>
        <v>44.747533683288012</v>
      </c>
      <c r="AC28" s="94">
        <f t="shared" si="36"/>
        <v>84.523119179544011</v>
      </c>
      <c r="AJ28" s="18"/>
      <c r="AK28">
        <v>121</v>
      </c>
      <c r="AL28" s="34">
        <f t="shared" si="48"/>
        <v>1.3812785388127854E-2</v>
      </c>
      <c r="AM28" s="34">
        <f t="shared" si="37"/>
        <v>0.9861872146118722</v>
      </c>
      <c r="AN28" s="94">
        <f t="shared" si="38"/>
        <v>0.34328920881706809</v>
      </c>
      <c r="AO28" s="94">
        <f t="shared" si="39"/>
        <v>0.17164460440853405</v>
      </c>
      <c r="AP28" s="94">
        <f t="shared" si="40"/>
        <v>24.681359273587471</v>
      </c>
      <c r="AQ28" s="27"/>
      <c r="AR28" s="27"/>
      <c r="AS28" s="94">
        <f t="shared" si="41"/>
        <v>0.61808807941527966</v>
      </c>
      <c r="AT28" s="94">
        <f t="shared" si="42"/>
        <v>0.30904403970763983</v>
      </c>
      <c r="AU28" s="94">
        <f t="shared" si="43"/>
        <v>44.438489643580368</v>
      </c>
      <c r="AV28" s="27"/>
      <c r="AW28" s="27"/>
      <c r="AX28" s="94">
        <f t="shared" si="44"/>
        <v>1.1674997055621947</v>
      </c>
      <c r="AY28" s="94">
        <f t="shared" si="45"/>
        <v>0.58374985278109737</v>
      </c>
      <c r="AZ28" s="27">
        <f t="shared" si="46"/>
        <v>83.939369326762915</v>
      </c>
      <c r="BA28" s="27"/>
      <c r="BB28" s="27"/>
      <c r="BC28" s="18"/>
      <c r="CD28" s="172" t="s">
        <v>289</v>
      </c>
      <c r="CE28" s="172"/>
      <c r="CF28" s="173"/>
      <c r="CG28" s="173"/>
      <c r="CH28" s="173"/>
      <c r="CI28" s="173"/>
      <c r="CJ28" s="173"/>
      <c r="CK28" s="173"/>
      <c r="CL28" s="173"/>
      <c r="CM28" s="173"/>
      <c r="CN28" s="173"/>
      <c r="CO28" s="173"/>
      <c r="CP28" s="173"/>
      <c r="CQ28" s="173"/>
      <c r="CR28" s="173"/>
      <c r="CS28" s="173"/>
    </row>
    <row r="29" spans="1:151" ht="17" x14ac:dyDescent="0.2">
      <c r="A29" s="3" t="s">
        <v>51</v>
      </c>
      <c r="B29">
        <v>1212</v>
      </c>
      <c r="C29">
        <v>741</v>
      </c>
      <c r="D29">
        <v>6.44</v>
      </c>
      <c r="E29">
        <v>0.95</v>
      </c>
      <c r="F29" s="2">
        <f t="shared" si="24"/>
        <v>1151.3999999999999</v>
      </c>
      <c r="G29" t="s">
        <v>11</v>
      </c>
      <c r="H29" s="20"/>
      <c r="I29" s="21"/>
      <c r="J29">
        <v>1151</v>
      </c>
      <c r="K29" s="94">
        <f t="shared" si="25"/>
        <v>3.50455E-2</v>
      </c>
      <c r="L29" s="97">
        <f t="shared" si="26"/>
        <v>6.3099000000000002E-2</v>
      </c>
      <c r="M29" s="94">
        <f t="shared" si="27"/>
        <v>0.119187</v>
      </c>
      <c r="N29">
        <v>6.44</v>
      </c>
      <c r="O29" s="27">
        <f t="shared" si="28"/>
        <v>259.77266602000003</v>
      </c>
      <c r="P29" s="27">
        <f t="shared" si="29"/>
        <v>467.71755156</v>
      </c>
      <c r="Q29" s="27">
        <f t="shared" si="30"/>
        <v>883.46648628000003</v>
      </c>
      <c r="R29" s="27"/>
      <c r="S29" s="27"/>
      <c r="T29" s="27"/>
      <c r="U29" s="18"/>
      <c r="V29">
        <v>2.3999999999999998E-3</v>
      </c>
      <c r="W29">
        <v>0.99760000000000004</v>
      </c>
      <c r="X29" s="94">
        <f t="shared" si="31"/>
        <v>0.62345439844799999</v>
      </c>
      <c r="Y29" s="94">
        <f t="shared" si="32"/>
        <v>1.122522123744</v>
      </c>
      <c r="Z29" s="94">
        <f t="shared" si="33"/>
        <v>2.1203195670719999</v>
      </c>
      <c r="AA29" s="94">
        <f t="shared" si="34"/>
        <v>259.14921162155207</v>
      </c>
      <c r="AB29" s="94">
        <f t="shared" si="35"/>
        <v>466.59502943625603</v>
      </c>
      <c r="AC29" s="94">
        <f t="shared" si="36"/>
        <v>881.34616671292804</v>
      </c>
      <c r="AJ29" s="18"/>
      <c r="AK29">
        <v>2</v>
      </c>
      <c r="AL29" s="34">
        <f t="shared" si="48"/>
        <v>2.2831050228310502E-4</v>
      </c>
      <c r="AM29" s="34">
        <f t="shared" si="37"/>
        <v>0.99977168949771689</v>
      </c>
      <c r="AN29" s="94">
        <f t="shared" si="38"/>
        <v>5.9166486671587228E-2</v>
      </c>
      <c r="AO29" s="94">
        <f t="shared" si="39"/>
        <v>2.9583243335793614E-2</v>
      </c>
      <c r="AP29" s="94">
        <f t="shared" si="40"/>
        <v>259.11962837821631</v>
      </c>
      <c r="AQ29" s="27"/>
      <c r="AR29" s="27"/>
      <c r="AS29" s="94">
        <f t="shared" si="41"/>
        <v>0.10652854553339178</v>
      </c>
      <c r="AT29" s="94">
        <f t="shared" si="42"/>
        <v>5.3264272766695889E-2</v>
      </c>
      <c r="AU29" s="94">
        <f t="shared" si="43"/>
        <v>466.54176516348929</v>
      </c>
      <c r="AV29" s="27"/>
      <c r="AW29" s="27"/>
      <c r="AX29" s="94">
        <f t="shared" si="44"/>
        <v>0.2012205860075178</v>
      </c>
      <c r="AY29" s="94">
        <f t="shared" si="45"/>
        <v>0.1006102930037589</v>
      </c>
      <c r="AZ29" s="27">
        <f t="shared" si="46"/>
        <v>881.24555641992436</v>
      </c>
      <c r="BA29" s="27"/>
      <c r="BB29" s="27"/>
      <c r="BC29" s="18"/>
      <c r="CD29" s="171" t="s">
        <v>93</v>
      </c>
    </row>
    <row r="30" spans="1:151" x14ac:dyDescent="0.2">
      <c r="A30" s="3" t="s">
        <v>52</v>
      </c>
      <c r="B30">
        <v>1569</v>
      </c>
      <c r="C30">
        <v>87</v>
      </c>
      <c r="D30">
        <v>1.47</v>
      </c>
      <c r="E30">
        <v>0.21</v>
      </c>
      <c r="F30" s="2">
        <f t="shared" si="24"/>
        <v>329.49</v>
      </c>
      <c r="G30" t="s">
        <v>11</v>
      </c>
      <c r="H30" s="20"/>
      <c r="I30" s="21"/>
      <c r="J30">
        <v>329</v>
      </c>
      <c r="K30" s="94">
        <f t="shared" si="25"/>
        <v>3.50455E-2</v>
      </c>
      <c r="L30" s="97">
        <f t="shared" si="26"/>
        <v>6.3099000000000002E-2</v>
      </c>
      <c r="M30" s="94">
        <f t="shared" si="27"/>
        <v>0.119187</v>
      </c>
      <c r="N30">
        <v>1.47</v>
      </c>
      <c r="O30" s="27">
        <f t="shared" si="28"/>
        <v>16.949055165000001</v>
      </c>
      <c r="P30" s="27">
        <f t="shared" si="29"/>
        <v>30.516569370000003</v>
      </c>
      <c r="Q30" s="27">
        <f t="shared" si="30"/>
        <v>57.642408809999992</v>
      </c>
      <c r="R30" s="27"/>
      <c r="S30" s="27"/>
      <c r="T30" s="27"/>
      <c r="U30" s="18"/>
      <c r="V30">
        <v>2.3999999999999998E-3</v>
      </c>
      <c r="W30">
        <v>0.99760000000000004</v>
      </c>
      <c r="X30" s="94">
        <f t="shared" si="31"/>
        <v>4.0677732395999998E-2</v>
      </c>
      <c r="Y30" s="94">
        <f t="shared" si="32"/>
        <v>7.3239766487999999E-2</v>
      </c>
      <c r="Z30" s="94">
        <f t="shared" si="33"/>
        <v>0.13834178114399998</v>
      </c>
      <c r="AA30" s="94">
        <f t="shared" si="34"/>
        <v>16.908377432604002</v>
      </c>
      <c r="AB30" s="94">
        <f t="shared" si="35"/>
        <v>30.443329603512005</v>
      </c>
      <c r="AC30" s="94">
        <f t="shared" si="36"/>
        <v>57.504067028855992</v>
      </c>
      <c r="AJ30" s="18"/>
      <c r="AK30">
        <v>0</v>
      </c>
      <c r="AL30" s="34">
        <f t="shared" si="48"/>
        <v>0</v>
      </c>
      <c r="AM30" s="34">
        <f t="shared" si="37"/>
        <v>1</v>
      </c>
      <c r="AN30" s="94">
        <f t="shared" si="38"/>
        <v>0</v>
      </c>
      <c r="AO30" s="94">
        <f t="shared" si="39"/>
        <v>0</v>
      </c>
      <c r="AP30" s="94">
        <f t="shared" si="40"/>
        <v>16.908377432604002</v>
      </c>
      <c r="AQ30" s="27"/>
      <c r="AR30" s="27"/>
      <c r="AS30" s="94">
        <f t="shared" si="41"/>
        <v>0</v>
      </c>
      <c r="AT30" s="94">
        <f t="shared" si="42"/>
        <v>0</v>
      </c>
      <c r="AU30" s="94">
        <f t="shared" si="43"/>
        <v>30.443329603512005</v>
      </c>
      <c r="AV30" s="27"/>
      <c r="AW30" s="27"/>
      <c r="AX30" s="94">
        <f t="shared" si="44"/>
        <v>0</v>
      </c>
      <c r="AY30" s="94">
        <f t="shared" si="45"/>
        <v>0</v>
      </c>
      <c r="AZ30" s="27">
        <f t="shared" si="46"/>
        <v>57.504067028855992</v>
      </c>
      <c r="BA30" s="27"/>
      <c r="BB30" s="27"/>
      <c r="BC30" s="18"/>
    </row>
    <row r="31" spans="1:151" x14ac:dyDescent="0.2">
      <c r="A31" s="3" t="s">
        <v>54</v>
      </c>
      <c r="B31">
        <v>1540</v>
      </c>
      <c r="C31">
        <v>570</v>
      </c>
      <c r="D31">
        <v>1.19</v>
      </c>
      <c r="E31">
        <v>0.15</v>
      </c>
      <c r="F31" s="2">
        <f t="shared" si="24"/>
        <v>231</v>
      </c>
      <c r="G31" t="s">
        <v>11</v>
      </c>
      <c r="H31" s="20"/>
      <c r="I31" s="21"/>
      <c r="J31">
        <v>231</v>
      </c>
      <c r="K31" s="94">
        <f t="shared" si="25"/>
        <v>3.50455E-2</v>
      </c>
      <c r="L31" s="97">
        <f t="shared" si="26"/>
        <v>6.3099000000000002E-2</v>
      </c>
      <c r="M31" s="94">
        <f t="shared" si="27"/>
        <v>0.119187</v>
      </c>
      <c r="N31">
        <v>1.19</v>
      </c>
      <c r="O31" s="27">
        <f t="shared" si="28"/>
        <v>9.6336574949999996</v>
      </c>
      <c r="P31" s="27">
        <f t="shared" si="29"/>
        <v>17.345284110000001</v>
      </c>
      <c r="Q31" s="27">
        <f t="shared" si="30"/>
        <v>32.763314430000001</v>
      </c>
      <c r="R31" s="27"/>
      <c r="S31" s="27"/>
      <c r="T31" s="27"/>
      <c r="U31" s="18"/>
      <c r="V31">
        <v>2.3999999999999998E-3</v>
      </c>
      <c r="W31">
        <v>0.99760000000000004</v>
      </c>
      <c r="X31" s="94">
        <f t="shared" si="31"/>
        <v>2.3120777987999996E-2</v>
      </c>
      <c r="Y31" s="94">
        <f t="shared" si="32"/>
        <v>4.1628681863999997E-2</v>
      </c>
      <c r="Z31" s="94">
        <f t="shared" si="33"/>
        <v>7.8631954631999998E-2</v>
      </c>
      <c r="AA31" s="94">
        <f t="shared" si="34"/>
        <v>9.6105367170119997</v>
      </c>
      <c r="AB31" s="94">
        <f t="shared" si="35"/>
        <v>17.303655428136</v>
      </c>
      <c r="AC31" s="94">
        <f t="shared" si="36"/>
        <v>32.684682475368</v>
      </c>
      <c r="AJ31" s="18"/>
      <c r="AK31">
        <v>19</v>
      </c>
      <c r="AL31" s="34">
        <f t="shared" si="48"/>
        <v>2.1689497716894978E-3</v>
      </c>
      <c r="AM31" s="34">
        <f t="shared" si="37"/>
        <v>0.99783105022831053</v>
      </c>
      <c r="AN31" s="94">
        <f t="shared" si="38"/>
        <v>2.0844771418176714E-2</v>
      </c>
      <c r="AO31" s="94">
        <f t="shared" si="39"/>
        <v>1.0422385709088357E-2</v>
      </c>
      <c r="AP31" s="94">
        <f t="shared" si="40"/>
        <v>9.6001143313029118</v>
      </c>
      <c r="AQ31" s="27"/>
      <c r="AR31" s="27"/>
      <c r="AS31" s="94">
        <f t="shared" si="41"/>
        <v>3.7530759490249317E-2</v>
      </c>
      <c r="AT31" s="94">
        <f t="shared" si="42"/>
        <v>1.8765379745124659E-2</v>
      </c>
      <c r="AU31" s="94">
        <f t="shared" si="43"/>
        <v>17.284890048390878</v>
      </c>
      <c r="AV31" s="27"/>
      <c r="AW31" s="27"/>
      <c r="AX31" s="94">
        <f t="shared" si="44"/>
        <v>7.0891434592693148E-2</v>
      </c>
      <c r="AY31" s="94">
        <f t="shared" si="45"/>
        <v>3.5445717296346574E-2</v>
      </c>
      <c r="AZ31" s="27">
        <f t="shared" si="46"/>
        <v>32.649236758071652</v>
      </c>
      <c r="BA31" s="27"/>
      <c r="BB31" s="27"/>
      <c r="BC31" s="18"/>
    </row>
    <row r="32" spans="1:151" x14ac:dyDescent="0.2">
      <c r="A32" s="3" t="s">
        <v>55</v>
      </c>
      <c r="B32">
        <v>1512</v>
      </c>
      <c r="C32">
        <v>1053</v>
      </c>
      <c r="D32">
        <v>0.46</v>
      </c>
      <c r="E32">
        <v>0.1</v>
      </c>
      <c r="F32" s="2">
        <f t="shared" si="24"/>
        <v>151.20000000000002</v>
      </c>
      <c r="G32" t="s">
        <v>11</v>
      </c>
      <c r="H32" s="20"/>
      <c r="I32" s="21"/>
      <c r="J32">
        <v>151</v>
      </c>
      <c r="K32" s="94">
        <f t="shared" si="25"/>
        <v>3.50455E-2</v>
      </c>
      <c r="L32" s="97">
        <f t="shared" si="26"/>
        <v>6.3099000000000002E-2</v>
      </c>
      <c r="M32" s="94">
        <f t="shared" si="27"/>
        <v>0.119187</v>
      </c>
      <c r="N32">
        <v>0.46</v>
      </c>
      <c r="O32" s="27">
        <f t="shared" si="28"/>
        <v>2.4342604300000001</v>
      </c>
      <c r="P32" s="27">
        <f t="shared" si="29"/>
        <v>4.3828565399999997</v>
      </c>
      <c r="Q32" s="27">
        <f t="shared" si="30"/>
        <v>8.2787290200000019</v>
      </c>
      <c r="R32" s="27"/>
      <c r="S32" s="27"/>
      <c r="T32" s="27"/>
      <c r="U32" s="18"/>
      <c r="V32">
        <v>2.3999999999999998E-3</v>
      </c>
      <c r="W32">
        <v>0.99760000000000004</v>
      </c>
      <c r="X32" s="94">
        <f t="shared" si="31"/>
        <v>5.8422250320000002E-3</v>
      </c>
      <c r="Y32" s="94">
        <f t="shared" si="32"/>
        <v>1.0518855695999998E-2</v>
      </c>
      <c r="Z32" s="94">
        <f t="shared" si="33"/>
        <v>1.9868949648000001E-2</v>
      </c>
      <c r="AA32" s="94">
        <f t="shared" si="34"/>
        <v>2.4284182049680001</v>
      </c>
      <c r="AB32" s="94">
        <f t="shared" si="35"/>
        <v>4.372337684304</v>
      </c>
      <c r="AC32" s="94">
        <f t="shared" si="36"/>
        <v>8.2588600703520019</v>
      </c>
      <c r="AJ32" s="18"/>
      <c r="AK32">
        <v>11</v>
      </c>
      <c r="AL32" s="34">
        <f t="shared" si="48"/>
        <v>1.2557077625570776E-3</v>
      </c>
      <c r="AM32" s="34">
        <f t="shared" si="37"/>
        <v>0.99874429223744288</v>
      </c>
      <c r="AN32" s="94">
        <f t="shared" si="38"/>
        <v>3.0493835907132419E-3</v>
      </c>
      <c r="AO32" s="94">
        <f t="shared" si="39"/>
        <v>1.524691795356621E-3</v>
      </c>
      <c r="AP32" s="94">
        <f t="shared" si="40"/>
        <v>2.4268935131726432</v>
      </c>
      <c r="AQ32" s="27"/>
      <c r="AR32" s="27"/>
      <c r="AS32" s="94">
        <f t="shared" si="41"/>
        <v>5.4903783707013695E-3</v>
      </c>
      <c r="AT32" s="94">
        <f t="shared" si="42"/>
        <v>2.7451891853506848E-3</v>
      </c>
      <c r="AU32" s="94">
        <f t="shared" si="43"/>
        <v>4.3695924951186491</v>
      </c>
      <c r="AV32" s="27"/>
      <c r="AW32" s="27"/>
      <c r="AX32" s="94">
        <f t="shared" si="44"/>
        <v>1.0370714700213701E-2</v>
      </c>
      <c r="AY32" s="94">
        <f t="shared" si="45"/>
        <v>5.1853573501068504E-3</v>
      </c>
      <c r="AZ32" s="27">
        <f t="shared" si="46"/>
        <v>8.2536747130018959</v>
      </c>
      <c r="BA32" s="27"/>
      <c r="BB32" s="27"/>
      <c r="BC32" s="18"/>
    </row>
    <row r="33" spans="1:67" x14ac:dyDescent="0.2">
      <c r="A33" s="3" t="s">
        <v>56</v>
      </c>
      <c r="B33">
        <v>1568</v>
      </c>
      <c r="C33">
        <v>87</v>
      </c>
      <c r="D33">
        <v>0.66</v>
      </c>
      <c r="E33">
        <v>0.05</v>
      </c>
      <c r="F33" s="2">
        <f t="shared" si="24"/>
        <v>78.400000000000006</v>
      </c>
      <c r="G33" t="s">
        <v>11</v>
      </c>
      <c r="H33" s="20"/>
      <c r="I33" s="21"/>
      <c r="J33">
        <v>78</v>
      </c>
      <c r="K33" s="94">
        <f t="shared" si="25"/>
        <v>3.50455E-2</v>
      </c>
      <c r="L33" s="97">
        <f t="shared" si="26"/>
        <v>6.3099000000000002E-2</v>
      </c>
      <c r="M33" s="94">
        <f t="shared" si="27"/>
        <v>0.119187</v>
      </c>
      <c r="N33">
        <v>0.66</v>
      </c>
      <c r="O33" s="27">
        <f t="shared" si="28"/>
        <v>1.8041423400000001</v>
      </c>
      <c r="P33" s="27">
        <f t="shared" si="29"/>
        <v>3.2483365200000001</v>
      </c>
      <c r="Q33" s="27">
        <f t="shared" si="30"/>
        <v>6.13574676</v>
      </c>
      <c r="R33" s="27"/>
      <c r="S33" s="27"/>
      <c r="T33" s="27"/>
      <c r="U33" s="18"/>
      <c r="V33">
        <v>2.3999999999999998E-3</v>
      </c>
      <c r="W33">
        <v>0.99760000000000004</v>
      </c>
      <c r="X33" s="94">
        <f t="shared" si="31"/>
        <v>4.3299416159999996E-3</v>
      </c>
      <c r="Y33" s="94">
        <f t="shared" si="32"/>
        <v>7.7960076479999998E-3</v>
      </c>
      <c r="Z33" s="94">
        <f t="shared" si="33"/>
        <v>1.4725792223999999E-2</v>
      </c>
      <c r="AA33" s="94">
        <f t="shared" si="34"/>
        <v>1.7998123983840002</v>
      </c>
      <c r="AB33" s="94">
        <f t="shared" si="35"/>
        <v>3.2405405123520001</v>
      </c>
      <c r="AC33" s="94">
        <f t="shared" si="36"/>
        <v>6.1210209677760004</v>
      </c>
      <c r="AJ33" s="18"/>
      <c r="AK33">
        <v>112</v>
      </c>
      <c r="AL33" s="34">
        <f t="shared" si="48"/>
        <v>1.2785388127853882E-2</v>
      </c>
      <c r="AM33" s="34">
        <f t="shared" si="37"/>
        <v>0.9872146118721461</v>
      </c>
      <c r="AN33" s="94">
        <f t="shared" si="38"/>
        <v>2.3011300070663019E-2</v>
      </c>
      <c r="AO33" s="94">
        <f t="shared" si="39"/>
        <v>1.1505650035331509E-2</v>
      </c>
      <c r="AP33" s="94">
        <f t="shared" si="40"/>
        <v>1.7883067483486685</v>
      </c>
      <c r="AQ33" s="27"/>
      <c r="AR33" s="27"/>
      <c r="AS33" s="94">
        <f t="shared" si="41"/>
        <v>4.1431568194454801E-2</v>
      </c>
      <c r="AT33" s="94">
        <f t="shared" si="42"/>
        <v>2.0715784097227401E-2</v>
      </c>
      <c r="AU33" s="94">
        <f t="shared" si="43"/>
        <v>3.2198247282547725</v>
      </c>
      <c r="AV33" s="27"/>
      <c r="AW33" s="27"/>
      <c r="AX33" s="94">
        <f t="shared" si="44"/>
        <v>7.8259628811747958E-2</v>
      </c>
      <c r="AY33" s="94">
        <f t="shared" si="45"/>
        <v>3.9129814405873979E-2</v>
      </c>
      <c r="AZ33" s="27">
        <f t="shared" si="46"/>
        <v>6.081891153370127</v>
      </c>
      <c r="BA33" s="27"/>
      <c r="BB33" s="27"/>
      <c r="BC33" s="18"/>
    </row>
    <row r="34" spans="1:67" x14ac:dyDescent="0.2">
      <c r="A34" s="3" t="s">
        <v>53</v>
      </c>
      <c r="B34">
        <v>1540</v>
      </c>
      <c r="C34">
        <v>570</v>
      </c>
      <c r="D34">
        <v>1.23</v>
      </c>
      <c r="E34">
        <v>0.12</v>
      </c>
      <c r="F34" s="2">
        <f t="shared" si="24"/>
        <v>184.79999999999998</v>
      </c>
      <c r="G34" t="s">
        <v>11</v>
      </c>
      <c r="H34" s="20"/>
      <c r="I34" s="21"/>
      <c r="J34">
        <v>185</v>
      </c>
      <c r="K34" s="94">
        <f t="shared" si="25"/>
        <v>3.50455E-2</v>
      </c>
      <c r="L34" s="97">
        <f t="shared" si="26"/>
        <v>6.3099000000000002E-2</v>
      </c>
      <c r="M34" s="94">
        <f t="shared" si="27"/>
        <v>0.119187</v>
      </c>
      <c r="N34">
        <v>1.23</v>
      </c>
      <c r="O34" s="27">
        <f t="shared" si="28"/>
        <v>7.974603525</v>
      </c>
      <c r="P34" s="27">
        <f t="shared" si="29"/>
        <v>14.358177450000001</v>
      </c>
      <c r="Q34" s="27">
        <f t="shared" si="30"/>
        <v>27.121001849999999</v>
      </c>
      <c r="R34" s="27"/>
      <c r="S34" s="27"/>
      <c r="T34" s="27"/>
      <c r="U34" s="18"/>
      <c r="V34">
        <v>2.3999999999999998E-3</v>
      </c>
      <c r="W34">
        <v>0.99760000000000004</v>
      </c>
      <c r="X34" s="94">
        <f t="shared" si="31"/>
        <v>1.9139048459999999E-2</v>
      </c>
      <c r="Y34" s="94">
        <f t="shared" si="32"/>
        <v>3.4459625879999997E-2</v>
      </c>
      <c r="Z34" s="94">
        <f t="shared" si="33"/>
        <v>6.5090404439999985E-2</v>
      </c>
      <c r="AA34" s="94">
        <f t="shared" si="34"/>
        <v>7.9554644765400004</v>
      </c>
      <c r="AB34" s="94">
        <f t="shared" si="35"/>
        <v>14.323717824120003</v>
      </c>
      <c r="AC34" s="94">
        <f t="shared" si="36"/>
        <v>27.05591144556</v>
      </c>
      <c r="AJ34" s="18"/>
      <c r="AK34">
        <v>24</v>
      </c>
      <c r="AL34" s="34">
        <f t="shared" si="48"/>
        <v>2.7397260273972603E-3</v>
      </c>
      <c r="AM34" s="34">
        <f t="shared" si="37"/>
        <v>0.99726027397260275</v>
      </c>
      <c r="AN34" s="94">
        <f t="shared" si="38"/>
        <v>2.1795793086410959E-2</v>
      </c>
      <c r="AO34" s="94">
        <f t="shared" si="39"/>
        <v>1.089789654320548E-2</v>
      </c>
      <c r="AP34" s="94">
        <f t="shared" si="40"/>
        <v>7.9445665799967955</v>
      </c>
      <c r="AQ34" s="27"/>
      <c r="AR34" s="27"/>
      <c r="AS34" s="94">
        <f t="shared" si="41"/>
        <v>3.9243062531835626E-2</v>
      </c>
      <c r="AT34" s="94">
        <f t="shared" si="42"/>
        <v>1.9621531265917813E-2</v>
      </c>
      <c r="AU34" s="94">
        <f t="shared" si="43"/>
        <v>14.304096292854085</v>
      </c>
      <c r="AV34" s="27"/>
      <c r="AW34" s="27"/>
      <c r="AX34" s="94">
        <f t="shared" si="44"/>
        <v>7.4125784782356166E-2</v>
      </c>
      <c r="AY34" s="94">
        <f t="shared" si="45"/>
        <v>3.7062892391178083E-2</v>
      </c>
      <c r="AZ34" s="27">
        <f t="shared" si="46"/>
        <v>27.018848553168819</v>
      </c>
      <c r="BA34" s="27"/>
      <c r="BB34" s="27"/>
      <c r="BC34" s="18"/>
    </row>
    <row r="35" spans="1:67" x14ac:dyDescent="0.2">
      <c r="A35" s="3" t="s">
        <v>57</v>
      </c>
      <c r="B35">
        <v>1927</v>
      </c>
      <c r="C35">
        <v>748</v>
      </c>
      <c r="D35">
        <v>1.35</v>
      </c>
      <c r="E35">
        <v>0.2</v>
      </c>
      <c r="F35" s="2">
        <f t="shared" si="24"/>
        <v>385.40000000000003</v>
      </c>
      <c r="G35" t="s">
        <v>11</v>
      </c>
      <c r="H35" s="20"/>
      <c r="I35" s="21"/>
      <c r="J35">
        <v>385</v>
      </c>
      <c r="K35" s="94">
        <f t="shared" si="25"/>
        <v>3.50455E-2</v>
      </c>
      <c r="L35" s="97">
        <f t="shared" si="26"/>
        <v>6.3099000000000002E-2</v>
      </c>
      <c r="M35" s="94">
        <f t="shared" si="27"/>
        <v>0.119187</v>
      </c>
      <c r="N35">
        <v>1.35</v>
      </c>
      <c r="O35" s="27">
        <f t="shared" si="28"/>
        <v>18.214898625</v>
      </c>
      <c r="P35" s="27">
        <f t="shared" si="29"/>
        <v>32.795705250000005</v>
      </c>
      <c r="Q35" s="27">
        <f t="shared" si="30"/>
        <v>61.947443249999999</v>
      </c>
      <c r="R35" s="27"/>
      <c r="S35" s="27"/>
      <c r="T35" s="27"/>
      <c r="U35" s="18"/>
      <c r="V35">
        <v>2.3999999999999998E-3</v>
      </c>
      <c r="W35">
        <v>0.99760000000000004</v>
      </c>
      <c r="X35" s="94">
        <f t="shared" si="31"/>
        <v>4.3715756699999997E-2</v>
      </c>
      <c r="Y35" s="94">
        <f t="shared" si="32"/>
        <v>7.8709692600000006E-2</v>
      </c>
      <c r="Z35" s="94">
        <f t="shared" si="33"/>
        <v>0.14867386379999997</v>
      </c>
      <c r="AA35" s="94">
        <f t="shared" si="34"/>
        <v>18.171182868300001</v>
      </c>
      <c r="AB35" s="94">
        <f t="shared" si="35"/>
        <v>32.716995557400004</v>
      </c>
      <c r="AC35" s="94">
        <f t="shared" si="36"/>
        <v>61.7987693862</v>
      </c>
      <c r="AJ35" s="18"/>
      <c r="AK35">
        <v>288</v>
      </c>
      <c r="AL35" s="34">
        <f t="shared" si="48"/>
        <v>3.287671232876712E-2</v>
      </c>
      <c r="AM35" s="34">
        <f t="shared" si="37"/>
        <v>0.9671232876712329</v>
      </c>
      <c r="AN35" s="94">
        <f t="shared" si="38"/>
        <v>0.59740875183452047</v>
      </c>
      <c r="AO35" s="94">
        <f t="shared" si="39"/>
        <v>0.29870437591726023</v>
      </c>
      <c r="AP35" s="94">
        <f t="shared" si="40"/>
        <v>17.87247849238274</v>
      </c>
      <c r="AQ35" s="27"/>
      <c r="AR35" s="27"/>
      <c r="AS35" s="94">
        <f t="shared" si="41"/>
        <v>1.0756272512021918</v>
      </c>
      <c r="AT35" s="94">
        <f t="shared" si="42"/>
        <v>0.53781362560109591</v>
      </c>
      <c r="AU35" s="94">
        <f t="shared" si="43"/>
        <v>32.179181931798908</v>
      </c>
      <c r="AV35" s="27"/>
      <c r="AW35" s="27"/>
      <c r="AX35" s="94">
        <f t="shared" si="44"/>
        <v>2.0317403633819175</v>
      </c>
      <c r="AY35" s="94">
        <f t="shared" si="45"/>
        <v>1.0158701816909588</v>
      </c>
      <c r="AZ35" s="27">
        <f t="shared" si="46"/>
        <v>60.782899204509043</v>
      </c>
      <c r="BA35" s="27"/>
      <c r="BB35" s="27"/>
      <c r="BC35" s="18"/>
    </row>
    <row r="36" spans="1:67" x14ac:dyDescent="0.2">
      <c r="A36" s="3" t="s">
        <v>73</v>
      </c>
      <c r="B36">
        <v>1764</v>
      </c>
      <c r="C36">
        <v>1055</v>
      </c>
      <c r="D36">
        <v>0.98</v>
      </c>
      <c r="E36">
        <v>0.5</v>
      </c>
      <c r="F36" s="2">
        <f t="shared" si="24"/>
        <v>882</v>
      </c>
      <c r="G36" t="s">
        <v>11</v>
      </c>
      <c r="H36" s="20"/>
      <c r="I36" s="21"/>
      <c r="J36">
        <v>882</v>
      </c>
      <c r="K36" s="94">
        <f t="shared" si="25"/>
        <v>3.50455E-2</v>
      </c>
      <c r="L36" s="97">
        <f t="shared" si="26"/>
        <v>6.3099000000000002E-2</v>
      </c>
      <c r="M36" s="94">
        <f t="shared" si="27"/>
        <v>0.119187</v>
      </c>
      <c r="N36">
        <v>0.98</v>
      </c>
      <c r="O36" s="27">
        <f t="shared" si="28"/>
        <v>30.291928379999998</v>
      </c>
      <c r="P36" s="27">
        <f t="shared" si="29"/>
        <v>54.540251640000001</v>
      </c>
      <c r="Q36" s="27">
        <f t="shared" si="30"/>
        <v>103.02047532</v>
      </c>
      <c r="R36" s="27"/>
      <c r="S36" s="27"/>
      <c r="T36" s="27"/>
      <c r="U36" s="18"/>
      <c r="V36">
        <v>2.3999999999999998E-3</v>
      </c>
      <c r="W36">
        <v>0.99760000000000004</v>
      </c>
      <c r="X36" s="94">
        <f t="shared" si="31"/>
        <v>7.2700628111999996E-2</v>
      </c>
      <c r="Y36" s="94">
        <f t="shared" si="32"/>
        <v>0.130896603936</v>
      </c>
      <c r="Z36" s="94">
        <f t="shared" si="33"/>
        <v>0.24724914076799998</v>
      </c>
      <c r="AA36" s="94">
        <f t="shared" si="34"/>
        <v>30.219227751887999</v>
      </c>
      <c r="AB36" s="94">
        <f t="shared" si="35"/>
        <v>54.409355036064007</v>
      </c>
      <c r="AC36" s="94">
        <f t="shared" si="36"/>
        <v>102.77322617923201</v>
      </c>
      <c r="AJ36" s="18"/>
      <c r="AK36">
        <v>43</v>
      </c>
      <c r="AL36" s="34">
        <f t="shared" si="48"/>
        <v>4.9086757990867581E-3</v>
      </c>
      <c r="AM36" s="34">
        <f t="shared" ref="AM36:AM50" si="49">1- AL36</f>
        <v>0.99509132420091329</v>
      </c>
      <c r="AN36" s="94">
        <f t="shared" si="38"/>
        <v>0.14833639193278356</v>
      </c>
      <c r="AO36" s="94">
        <f t="shared" si="39"/>
        <v>7.4168195966391778E-2</v>
      </c>
      <c r="AP36" s="94">
        <f t="shared" ref="AP36:AP50" si="50" xml:space="preserve"> AA36*AM36 + AO36</f>
        <v>30.145059555921605</v>
      </c>
      <c r="AQ36" s="27"/>
      <c r="AR36" s="27"/>
      <c r="AS36" s="94">
        <f t="shared" si="41"/>
        <v>0.26707788430944662</v>
      </c>
      <c r="AT36" s="94">
        <f t="shared" ref="AT36:AT50" si="51" xml:space="preserve"> AS36 / 2</f>
        <v>0.13353894215472331</v>
      </c>
      <c r="AU36" s="94">
        <f t="shared" si="43"/>
        <v>54.275816093909285</v>
      </c>
      <c r="AV36" s="27"/>
      <c r="AW36" s="27"/>
      <c r="AX36" s="94">
        <f t="shared" si="44"/>
        <v>0.50448044814006587</v>
      </c>
      <c r="AY36" s="94">
        <f t="shared" si="45"/>
        <v>0.25224022407003294</v>
      </c>
      <c r="AZ36" s="27">
        <f t="shared" ref="AZ36:AZ50" si="52" xml:space="preserve"> AC36 * AM36 + AY36</f>
        <v>102.52098595516199</v>
      </c>
      <c r="BA36" s="27"/>
      <c r="BB36" s="27"/>
      <c r="BC36" s="18"/>
    </row>
    <row r="37" spans="1:67" x14ac:dyDescent="0.2">
      <c r="A37" s="3" t="s">
        <v>59</v>
      </c>
      <c r="B37">
        <v>1648</v>
      </c>
      <c r="C37">
        <v>2043</v>
      </c>
      <c r="D37">
        <v>0.85</v>
      </c>
      <c r="F37" s="2">
        <f>B37*D37</f>
        <v>1400.8</v>
      </c>
      <c r="G37" t="s">
        <v>126</v>
      </c>
      <c r="H37" s="20"/>
      <c r="I37" s="21"/>
      <c r="J37">
        <v>1401</v>
      </c>
      <c r="K37" s="94">
        <f t="shared" si="25"/>
        <v>3.50455E-2</v>
      </c>
      <c r="L37" s="97">
        <f t="shared" si="26"/>
        <v>6.3099000000000002E-2</v>
      </c>
      <c r="M37" s="94">
        <f t="shared" si="27"/>
        <v>0.119187</v>
      </c>
      <c r="N37">
        <v>0.85</v>
      </c>
      <c r="O37" s="27">
        <f t="shared" si="28"/>
        <v>41.733933674999996</v>
      </c>
      <c r="P37" s="27">
        <f t="shared" si="29"/>
        <v>75.141444149999998</v>
      </c>
      <c r="Q37" s="27">
        <f t="shared" si="30"/>
        <v>141.93383894999999</v>
      </c>
      <c r="R37" s="27"/>
      <c r="S37" s="27"/>
      <c r="T37" s="27"/>
      <c r="U37" s="18"/>
      <c r="V37">
        <v>2.3999999999999998E-3</v>
      </c>
      <c r="W37">
        <v>0.99760000000000004</v>
      </c>
      <c r="X37" s="94">
        <f t="shared" si="31"/>
        <v>0.10016144081999998</v>
      </c>
      <c r="Y37" s="94">
        <f t="shared" si="32"/>
        <v>0.18033946595999997</v>
      </c>
      <c r="Z37" s="94">
        <f t="shared" si="33"/>
        <v>0.34064121347999998</v>
      </c>
      <c r="AA37" s="94">
        <f t="shared" si="34"/>
        <v>41.63377223418</v>
      </c>
      <c r="AB37" s="94">
        <f t="shared" si="35"/>
        <v>74.961104684039995</v>
      </c>
      <c r="AC37" s="94">
        <f t="shared" si="36"/>
        <v>141.59319773652001</v>
      </c>
      <c r="AJ37" s="18"/>
      <c r="AK37">
        <v>207</v>
      </c>
      <c r="AL37" s="34">
        <f t="shared" si="48"/>
        <v>2.363013698630137E-2</v>
      </c>
      <c r="AM37" s="34">
        <f t="shared" si="49"/>
        <v>0.97636986301369866</v>
      </c>
      <c r="AN37" s="94">
        <f t="shared" si="38"/>
        <v>0.9838117411501438</v>
      </c>
      <c r="AO37" s="94">
        <f t="shared" si="39"/>
        <v>0.4919058705750719</v>
      </c>
      <c r="AP37" s="94">
        <f t="shared" si="50"/>
        <v>41.141866363604933</v>
      </c>
      <c r="AQ37" s="27"/>
      <c r="AR37" s="27"/>
      <c r="AS37" s="94">
        <f t="shared" si="41"/>
        <v>1.7713411723283423</v>
      </c>
      <c r="AT37" s="94">
        <f t="shared" si="51"/>
        <v>0.88567058616417116</v>
      </c>
      <c r="AU37" s="94">
        <f t="shared" si="43"/>
        <v>74.075434097875828</v>
      </c>
      <c r="AV37" s="27"/>
      <c r="AW37" s="27"/>
      <c r="AX37" s="94">
        <f t="shared" si="44"/>
        <v>3.3458666588424251</v>
      </c>
      <c r="AY37" s="94">
        <f t="shared" si="45"/>
        <v>1.6729333294212125</v>
      </c>
      <c r="AZ37" s="27">
        <f t="shared" si="52"/>
        <v>139.92026440709878</v>
      </c>
      <c r="BA37" s="27"/>
      <c r="BB37" s="27"/>
      <c r="BC37" s="18"/>
    </row>
    <row r="38" spans="1:67" x14ac:dyDescent="0.2">
      <c r="A38" s="3" t="s">
        <v>60</v>
      </c>
      <c r="B38">
        <v>1503</v>
      </c>
      <c r="C38">
        <v>3031</v>
      </c>
      <c r="D38">
        <v>0.21</v>
      </c>
      <c r="F38" s="2">
        <f>B38*D38</f>
        <v>315.63</v>
      </c>
      <c r="G38" t="s">
        <v>16</v>
      </c>
      <c r="H38" s="20"/>
      <c r="I38" s="21"/>
      <c r="J38">
        <v>316</v>
      </c>
      <c r="K38" s="94">
        <f t="shared" si="25"/>
        <v>3.50455E-2</v>
      </c>
      <c r="L38" s="97">
        <f t="shared" si="26"/>
        <v>6.3099000000000002E-2</v>
      </c>
      <c r="M38" s="94">
        <f t="shared" si="27"/>
        <v>0.119187</v>
      </c>
      <c r="N38">
        <v>0.21</v>
      </c>
      <c r="O38" s="27">
        <f t="shared" si="28"/>
        <v>2.3256193799999996</v>
      </c>
      <c r="P38" s="27">
        <f t="shared" si="29"/>
        <v>4.1872496400000001</v>
      </c>
      <c r="Q38" s="27">
        <f t="shared" si="30"/>
        <v>7.9092493199999998</v>
      </c>
      <c r="R38" s="27"/>
      <c r="S38" s="27"/>
      <c r="T38" s="27"/>
      <c r="U38" s="18"/>
      <c r="V38">
        <v>2.3999999999999998E-3</v>
      </c>
      <c r="W38">
        <v>0.99760000000000004</v>
      </c>
      <c r="X38" s="94">
        <f t="shared" si="31"/>
        <v>5.5814865119999989E-3</v>
      </c>
      <c r="Y38" s="94">
        <f t="shared" si="32"/>
        <v>1.0049399136E-2</v>
      </c>
      <c r="Z38" s="94">
        <f t="shared" si="33"/>
        <v>1.8982198367999997E-2</v>
      </c>
      <c r="AA38" s="94">
        <f t="shared" si="34"/>
        <v>2.3200378934879997</v>
      </c>
      <c r="AB38" s="94">
        <f t="shared" si="35"/>
        <v>4.1772002408639999</v>
      </c>
      <c r="AC38" s="94">
        <f t="shared" si="36"/>
        <v>7.8902671216320002</v>
      </c>
      <c r="AJ38" s="18"/>
      <c r="AK38">
        <v>315</v>
      </c>
      <c r="AL38" s="34">
        <f t="shared" si="48"/>
        <v>3.5958904109589039E-2</v>
      </c>
      <c r="AM38" s="34">
        <f t="shared" si="49"/>
        <v>0.96404109589041098</v>
      </c>
      <c r="AN38" s="94">
        <f t="shared" si="38"/>
        <v>8.3426020142547935E-2</v>
      </c>
      <c r="AO38" s="94">
        <f t="shared" si="39"/>
        <v>4.1713010071273968E-2</v>
      </c>
      <c r="AP38" s="94">
        <f t="shared" si="50"/>
        <v>2.278324883416726</v>
      </c>
      <c r="AQ38" s="27"/>
      <c r="AR38" s="27"/>
      <c r="AS38" s="94">
        <f t="shared" si="41"/>
        <v>0.15020754290778082</v>
      </c>
      <c r="AT38" s="94">
        <f t="shared" si="51"/>
        <v>7.5103771453890411E-2</v>
      </c>
      <c r="AU38" s="94">
        <f t="shared" si="43"/>
        <v>4.1020964694101094</v>
      </c>
      <c r="AV38" s="27"/>
      <c r="AW38" s="27"/>
      <c r="AX38" s="94">
        <f t="shared" si="44"/>
        <v>0.28372535882580818</v>
      </c>
      <c r="AY38" s="94">
        <f t="shared" si="45"/>
        <v>0.14186267941290409</v>
      </c>
      <c r="AZ38" s="27">
        <f t="shared" si="52"/>
        <v>7.7484044422190967</v>
      </c>
      <c r="BA38" s="27"/>
      <c r="BB38" s="27"/>
      <c r="BC38" s="18"/>
    </row>
    <row r="39" spans="1:67" x14ac:dyDescent="0.2">
      <c r="A39" s="3" t="s">
        <v>61</v>
      </c>
      <c r="B39">
        <v>1913</v>
      </c>
      <c r="C39">
        <v>1266</v>
      </c>
      <c r="D39">
        <v>3.65</v>
      </c>
      <c r="E39">
        <v>1.59</v>
      </c>
      <c r="F39" s="2">
        <f t="shared" ref="F39:F50" si="53">B39*E39</f>
        <v>3041.67</v>
      </c>
      <c r="G39" t="s">
        <v>11</v>
      </c>
      <c r="H39" s="20"/>
      <c r="I39" s="21"/>
      <c r="J39">
        <v>3042</v>
      </c>
      <c r="K39" s="94">
        <f t="shared" si="25"/>
        <v>3.50455E-2</v>
      </c>
      <c r="L39" s="97">
        <f t="shared" si="26"/>
        <v>6.3099000000000002E-2</v>
      </c>
      <c r="M39" s="94">
        <f t="shared" si="27"/>
        <v>0.119187</v>
      </c>
      <c r="N39">
        <v>1.59</v>
      </c>
      <c r="O39" s="27">
        <f t="shared" si="28"/>
        <v>169.50737349000002</v>
      </c>
      <c r="P39" s="27">
        <f t="shared" si="29"/>
        <v>305.19598122000002</v>
      </c>
      <c r="Q39" s="27">
        <f t="shared" si="30"/>
        <v>576.48129786000004</v>
      </c>
      <c r="R39" s="27"/>
      <c r="S39" s="27"/>
      <c r="T39" s="27"/>
      <c r="U39" s="18"/>
      <c r="V39">
        <v>2.3999999999999998E-3</v>
      </c>
      <c r="W39">
        <v>0.99760000000000004</v>
      </c>
      <c r="X39" s="94">
        <f t="shared" si="31"/>
        <v>0.40681769637600002</v>
      </c>
      <c r="Y39" s="94">
        <f t="shared" si="32"/>
        <v>0.73247035492799994</v>
      </c>
      <c r="Z39" s="94">
        <f t="shared" si="33"/>
        <v>1.383555114864</v>
      </c>
      <c r="AA39" s="94">
        <f t="shared" si="34"/>
        <v>169.10055579362404</v>
      </c>
      <c r="AB39" s="94">
        <f t="shared" si="35"/>
        <v>304.46351086507201</v>
      </c>
      <c r="AC39" s="94">
        <f t="shared" si="36"/>
        <v>575.09774274513609</v>
      </c>
      <c r="AJ39" s="18"/>
      <c r="AK39">
        <v>114</v>
      </c>
      <c r="AL39" s="34">
        <f t="shared" si="48"/>
        <v>1.3013698630136987E-2</v>
      </c>
      <c r="AM39" s="34">
        <f t="shared" si="49"/>
        <v>0.98698630136986298</v>
      </c>
      <c r="AN39" s="94">
        <f t="shared" si="38"/>
        <v>2.2006236712868881</v>
      </c>
      <c r="AO39" s="94">
        <f t="shared" si="39"/>
        <v>1.100311835643444</v>
      </c>
      <c r="AP39" s="94">
        <f t="shared" si="50"/>
        <v>168.00024395798059</v>
      </c>
      <c r="AQ39" s="27"/>
      <c r="AR39" s="27"/>
      <c r="AS39" s="94">
        <f t="shared" si="41"/>
        <v>3.962196374271485</v>
      </c>
      <c r="AT39" s="94">
        <f t="shared" si="51"/>
        <v>1.9810981871357425</v>
      </c>
      <c r="AU39" s="94">
        <f t="shared" si="43"/>
        <v>302.48241267793622</v>
      </c>
      <c r="AV39" s="27"/>
      <c r="AW39" s="27"/>
      <c r="AX39" s="94">
        <f t="shared" si="44"/>
        <v>7.4841487069572503</v>
      </c>
      <c r="AY39" s="94">
        <f t="shared" si="45"/>
        <v>3.7420743534786252</v>
      </c>
      <c r="AZ39" s="27">
        <f t="shared" si="52"/>
        <v>571.35566839165745</v>
      </c>
      <c r="BA39" s="27"/>
      <c r="BB39" s="27"/>
      <c r="BC39" s="18"/>
    </row>
    <row r="40" spans="1:67" x14ac:dyDescent="0.2">
      <c r="A40" s="3" t="s">
        <v>62</v>
      </c>
      <c r="B40">
        <v>1890</v>
      </c>
      <c r="C40">
        <v>1398</v>
      </c>
      <c r="D40">
        <v>0.62</v>
      </c>
      <c r="E40">
        <v>0.55000000000000004</v>
      </c>
      <c r="F40" s="2">
        <f t="shared" si="53"/>
        <v>1039.5</v>
      </c>
      <c r="G40" t="s">
        <v>11</v>
      </c>
      <c r="H40" s="20"/>
      <c r="I40" s="21"/>
      <c r="J40">
        <v>1040</v>
      </c>
      <c r="K40" s="94">
        <f t="shared" si="25"/>
        <v>3.50455E-2</v>
      </c>
      <c r="L40" s="97">
        <f t="shared" si="26"/>
        <v>6.3099000000000002E-2</v>
      </c>
      <c r="M40" s="94">
        <f t="shared" si="27"/>
        <v>0.119187</v>
      </c>
      <c r="N40">
        <v>0.55000000000000004</v>
      </c>
      <c r="O40" s="27">
        <f t="shared" si="28"/>
        <v>20.046026000000001</v>
      </c>
      <c r="P40" s="27">
        <f t="shared" si="29"/>
        <v>36.092628000000005</v>
      </c>
      <c r="Q40" s="27">
        <f t="shared" si="30"/>
        <v>68.174964000000003</v>
      </c>
      <c r="R40" s="27"/>
      <c r="S40" s="27"/>
      <c r="T40" s="27"/>
      <c r="U40" s="18"/>
      <c r="V40">
        <v>2.3999999999999998E-3</v>
      </c>
      <c r="W40">
        <v>0.99760000000000004</v>
      </c>
      <c r="X40" s="94">
        <f t="shared" si="31"/>
        <v>4.8110462399999998E-2</v>
      </c>
      <c r="Y40" s="94">
        <f t="shared" si="32"/>
        <v>8.6622307199999998E-2</v>
      </c>
      <c r="Z40" s="94">
        <f t="shared" si="33"/>
        <v>0.1636199136</v>
      </c>
      <c r="AA40" s="94">
        <f t="shared" si="34"/>
        <v>19.997915537600001</v>
      </c>
      <c r="AB40" s="94">
        <f t="shared" si="35"/>
        <v>36.006005692800009</v>
      </c>
      <c r="AC40" s="94">
        <f t="shared" si="36"/>
        <v>68.011344086400001</v>
      </c>
      <c r="AJ40" s="18"/>
      <c r="AK40">
        <v>147</v>
      </c>
      <c r="AL40" s="34">
        <f t="shared" si="48"/>
        <v>1.678082191780822E-2</v>
      </c>
      <c r="AM40" s="34">
        <f t="shared" si="49"/>
        <v>0.98321917808219172</v>
      </c>
      <c r="AN40" s="94">
        <f t="shared" si="38"/>
        <v>0.33558145936383565</v>
      </c>
      <c r="AO40" s="94">
        <f t="shared" si="39"/>
        <v>0.16779072968191783</v>
      </c>
      <c r="AP40" s="94">
        <f t="shared" si="50"/>
        <v>19.830124807918082</v>
      </c>
      <c r="AQ40" s="27"/>
      <c r="AR40" s="27"/>
      <c r="AS40" s="94">
        <f t="shared" si="41"/>
        <v>0.60421036950246598</v>
      </c>
      <c r="AT40" s="94">
        <f t="shared" si="51"/>
        <v>0.30210518475123299</v>
      </c>
      <c r="AU40" s="94">
        <f t="shared" si="43"/>
        <v>35.703900508048775</v>
      </c>
      <c r="AV40" s="27"/>
      <c r="AW40" s="27"/>
      <c r="AX40" s="94">
        <f t="shared" si="44"/>
        <v>1.1412862535046575</v>
      </c>
      <c r="AY40" s="94">
        <f t="shared" si="45"/>
        <v>0.57064312675232876</v>
      </c>
      <c r="AZ40" s="27">
        <f t="shared" si="52"/>
        <v>67.440700959647671</v>
      </c>
      <c r="BA40" s="27"/>
      <c r="BB40" s="27"/>
      <c r="BC40" s="18"/>
    </row>
    <row r="41" spans="1:67" x14ac:dyDescent="0.2">
      <c r="A41" s="3" t="s">
        <v>63</v>
      </c>
      <c r="B41">
        <v>1776</v>
      </c>
      <c r="C41">
        <v>1568</v>
      </c>
      <c r="D41">
        <v>2.66</v>
      </c>
      <c r="E41">
        <v>1.78</v>
      </c>
      <c r="F41" s="2">
        <f t="shared" si="53"/>
        <v>3161.28</v>
      </c>
      <c r="G41" t="s">
        <v>11</v>
      </c>
      <c r="H41" s="20"/>
      <c r="I41" s="21"/>
      <c r="J41">
        <v>3161</v>
      </c>
      <c r="K41" s="94">
        <f t="shared" si="25"/>
        <v>3.50455E-2</v>
      </c>
      <c r="L41" s="97">
        <f t="shared" si="26"/>
        <v>6.3099000000000002E-2</v>
      </c>
      <c r="M41" s="94">
        <f t="shared" si="27"/>
        <v>0.119187</v>
      </c>
      <c r="N41">
        <v>1.78</v>
      </c>
      <c r="O41" s="27">
        <f t="shared" si="28"/>
        <v>197.18630938999999</v>
      </c>
      <c r="P41" s="27">
        <f t="shared" si="29"/>
        <v>355.03157142000003</v>
      </c>
      <c r="Q41" s="27">
        <f t="shared" si="30"/>
        <v>670.61519046000001</v>
      </c>
      <c r="R41" s="27"/>
      <c r="S41" s="27"/>
      <c r="T41" s="27"/>
      <c r="U41" s="18"/>
      <c r="V41">
        <v>2.3999999999999998E-3</v>
      </c>
      <c r="W41">
        <v>0.99760000000000004</v>
      </c>
      <c r="X41" s="94">
        <f t="shared" si="31"/>
        <v>0.47324714253599992</v>
      </c>
      <c r="Y41" s="94">
        <f t="shared" si="32"/>
        <v>0.85207577140800006</v>
      </c>
      <c r="Z41" s="94">
        <f t="shared" si="33"/>
        <v>1.6094764571039999</v>
      </c>
      <c r="AA41" s="94">
        <f t="shared" si="34"/>
        <v>196.71306224746399</v>
      </c>
      <c r="AB41" s="94">
        <f t="shared" si="35"/>
        <v>354.17949564859202</v>
      </c>
      <c r="AC41" s="94">
        <f t="shared" si="36"/>
        <v>669.00571400289607</v>
      </c>
      <c r="AJ41" s="18"/>
      <c r="AK41">
        <v>8</v>
      </c>
      <c r="AL41" s="34">
        <f t="shared" si="48"/>
        <v>9.1324200913242006E-4</v>
      </c>
      <c r="AM41" s="34">
        <f t="shared" si="49"/>
        <v>0.99908675799086755</v>
      </c>
      <c r="AN41" s="94">
        <f t="shared" si="38"/>
        <v>0.17964663218946483</v>
      </c>
      <c r="AO41" s="94">
        <f t="shared" si="39"/>
        <v>8.9823316094732417E-2</v>
      </c>
      <c r="AP41" s="94">
        <f t="shared" si="50"/>
        <v>196.62323893136926</v>
      </c>
      <c r="AQ41" s="27"/>
      <c r="AR41" s="27"/>
      <c r="AS41" s="94">
        <f t="shared" si="41"/>
        <v>0.32345159419962743</v>
      </c>
      <c r="AT41" s="94">
        <f t="shared" si="51"/>
        <v>0.16172579709981372</v>
      </c>
      <c r="AU41" s="94">
        <f t="shared" si="43"/>
        <v>354.01776985149218</v>
      </c>
      <c r="AV41" s="27"/>
      <c r="AW41" s="27"/>
      <c r="AX41" s="94">
        <f t="shared" si="44"/>
        <v>0.61096412237707398</v>
      </c>
      <c r="AY41" s="94">
        <f t="shared" si="45"/>
        <v>0.30548206118853699</v>
      </c>
      <c r="AZ41" s="27">
        <f t="shared" si="52"/>
        <v>668.70023194170744</v>
      </c>
      <c r="BA41" s="27"/>
      <c r="BB41" s="27"/>
      <c r="BC41" s="18"/>
    </row>
    <row r="42" spans="1:67" x14ac:dyDescent="0.2">
      <c r="A42" s="3" t="s">
        <v>64</v>
      </c>
      <c r="B42">
        <v>1755</v>
      </c>
      <c r="C42">
        <v>4018</v>
      </c>
      <c r="D42">
        <v>1.21</v>
      </c>
      <c r="E42">
        <v>1</v>
      </c>
      <c r="F42" s="2">
        <f t="shared" si="53"/>
        <v>1755</v>
      </c>
      <c r="G42" t="s">
        <v>11</v>
      </c>
      <c r="H42" s="20"/>
      <c r="I42" s="21"/>
      <c r="J42">
        <v>1755</v>
      </c>
      <c r="K42" s="94">
        <f t="shared" si="25"/>
        <v>3.50455E-2</v>
      </c>
      <c r="L42" s="97">
        <f t="shared" si="26"/>
        <v>6.3099000000000002E-2</v>
      </c>
      <c r="M42" s="94">
        <f t="shared" si="27"/>
        <v>0.119187</v>
      </c>
      <c r="N42">
        <v>1</v>
      </c>
      <c r="O42" s="27">
        <f t="shared" si="28"/>
        <v>61.504852499999998</v>
      </c>
      <c r="P42" s="27">
        <f t="shared" si="29"/>
        <v>110.73874500000001</v>
      </c>
      <c r="Q42" s="27">
        <f t="shared" si="30"/>
        <v>209.17318499999999</v>
      </c>
      <c r="R42" s="27"/>
      <c r="S42" s="27"/>
      <c r="T42" s="27"/>
      <c r="U42" s="18"/>
      <c r="V42">
        <v>2.3999999999999998E-3</v>
      </c>
      <c r="W42">
        <v>0.99760000000000004</v>
      </c>
      <c r="X42" s="94">
        <f t="shared" si="31"/>
        <v>0.14761164599999999</v>
      </c>
      <c r="Y42" s="94">
        <f t="shared" si="32"/>
        <v>0.26577298799999999</v>
      </c>
      <c r="Z42" s="94">
        <f t="shared" si="33"/>
        <v>0.50201564399999998</v>
      </c>
      <c r="AA42" s="94">
        <f t="shared" si="34"/>
        <v>61.357240854000004</v>
      </c>
      <c r="AB42" s="94">
        <f t="shared" si="35"/>
        <v>110.47297201200001</v>
      </c>
      <c r="AC42" s="94">
        <f t="shared" si="36"/>
        <v>208.67116935600001</v>
      </c>
      <c r="AJ42" s="18"/>
      <c r="AK42">
        <v>158</v>
      </c>
      <c r="AL42" s="34">
        <f t="shared" si="48"/>
        <v>1.8036529680365298E-2</v>
      </c>
      <c r="AM42" s="34">
        <f t="shared" si="49"/>
        <v>0.98196347031963471</v>
      </c>
      <c r="AN42" s="94">
        <f t="shared" si="38"/>
        <v>1.1066716957684932</v>
      </c>
      <c r="AO42" s="94">
        <f t="shared" si="39"/>
        <v>0.55333584788424661</v>
      </c>
      <c r="AP42" s="94">
        <f t="shared" si="50"/>
        <v>60.803905006115762</v>
      </c>
      <c r="AQ42" s="27"/>
      <c r="AR42" s="27"/>
      <c r="AS42" s="94">
        <f t="shared" si="41"/>
        <v>1.992549038572603</v>
      </c>
      <c r="AT42" s="94">
        <f t="shared" si="51"/>
        <v>0.99627451928630151</v>
      </c>
      <c r="AU42" s="94">
        <f t="shared" si="43"/>
        <v>109.47669749271371</v>
      </c>
      <c r="AV42" s="27"/>
      <c r="AW42" s="27"/>
      <c r="AX42" s="94">
        <f t="shared" si="44"/>
        <v>3.7637037395260275</v>
      </c>
      <c r="AY42" s="94">
        <f t="shared" si="45"/>
        <v>1.8818518697630138</v>
      </c>
      <c r="AZ42" s="27">
        <f t="shared" si="52"/>
        <v>206.789317486237</v>
      </c>
      <c r="BA42" s="27"/>
      <c r="BB42" s="27"/>
      <c r="BC42" s="18"/>
    </row>
    <row r="43" spans="1:67" x14ac:dyDescent="0.2">
      <c r="A43" s="3" t="s">
        <v>65</v>
      </c>
      <c r="B43">
        <v>1894</v>
      </c>
      <c r="C43">
        <v>4029</v>
      </c>
      <c r="D43">
        <v>2.13</v>
      </c>
      <c r="E43">
        <v>1.1599999999999999</v>
      </c>
      <c r="F43" s="2">
        <f t="shared" si="53"/>
        <v>2197.04</v>
      </c>
      <c r="G43" t="s">
        <v>11</v>
      </c>
      <c r="H43" s="20"/>
      <c r="I43" s="21"/>
      <c r="J43">
        <v>2197</v>
      </c>
      <c r="K43" s="94">
        <f t="shared" si="25"/>
        <v>3.50455E-2</v>
      </c>
      <c r="L43" s="97">
        <f t="shared" si="26"/>
        <v>6.3099000000000002E-2</v>
      </c>
      <c r="M43" s="94">
        <f t="shared" si="27"/>
        <v>0.119187</v>
      </c>
      <c r="N43">
        <v>1.1599999999999999</v>
      </c>
      <c r="O43" s="27">
        <f t="shared" si="28"/>
        <v>89.314157659999992</v>
      </c>
      <c r="P43" s="27">
        <f t="shared" si="29"/>
        <v>160.80906347999999</v>
      </c>
      <c r="Q43" s="27">
        <f t="shared" si="30"/>
        <v>303.75045323999996</v>
      </c>
      <c r="R43" s="27"/>
      <c r="S43" s="27"/>
      <c r="T43" s="27"/>
      <c r="U43" s="18"/>
      <c r="V43">
        <v>2.3999999999999998E-3</v>
      </c>
      <c r="W43">
        <v>0.99760000000000004</v>
      </c>
      <c r="X43" s="94">
        <f t="shared" si="31"/>
        <v>0.21435397838399997</v>
      </c>
      <c r="Y43" s="94">
        <f t="shared" si="32"/>
        <v>0.38594175235199996</v>
      </c>
      <c r="Z43" s="94">
        <f t="shared" si="33"/>
        <v>0.72900108777599981</v>
      </c>
      <c r="AA43" s="94">
        <f t="shared" si="34"/>
        <v>89.099803681615995</v>
      </c>
      <c r="AB43" s="94">
        <f t="shared" si="35"/>
        <v>160.42312172764801</v>
      </c>
      <c r="AC43" s="94">
        <f t="shared" si="36"/>
        <v>303.02145215222396</v>
      </c>
      <c r="AJ43" s="18"/>
      <c r="AK43">
        <v>584</v>
      </c>
      <c r="AL43" s="34">
        <f t="shared" si="48"/>
        <v>6.6666666666666666E-2</v>
      </c>
      <c r="AM43" s="34">
        <f t="shared" si="49"/>
        <v>0.93333333333333335</v>
      </c>
      <c r="AN43" s="94">
        <f t="shared" si="38"/>
        <v>5.9399869121077327</v>
      </c>
      <c r="AO43" s="94">
        <f t="shared" si="39"/>
        <v>2.9699934560538663</v>
      </c>
      <c r="AP43" s="94">
        <f t="shared" si="50"/>
        <v>86.129810225562139</v>
      </c>
      <c r="AQ43" s="27"/>
      <c r="AR43" s="27"/>
      <c r="AS43" s="94">
        <f t="shared" si="41"/>
        <v>10.6948747818432</v>
      </c>
      <c r="AT43" s="94">
        <f t="shared" si="51"/>
        <v>5.3474373909216002</v>
      </c>
      <c r="AU43" s="94">
        <f t="shared" si="43"/>
        <v>155.07568433672643</v>
      </c>
      <c r="AV43" s="27"/>
      <c r="AW43" s="27"/>
      <c r="AX43" s="94">
        <f t="shared" si="44"/>
        <v>20.201430143481598</v>
      </c>
      <c r="AY43" s="94">
        <f t="shared" si="45"/>
        <v>10.100715071740799</v>
      </c>
      <c r="AZ43" s="27">
        <f t="shared" si="52"/>
        <v>292.92073708048315</v>
      </c>
      <c r="BA43" s="27"/>
      <c r="BB43" s="27"/>
      <c r="BC43" s="18"/>
    </row>
    <row r="44" spans="1:67" x14ac:dyDescent="0.2">
      <c r="A44" s="3" t="s">
        <v>66</v>
      </c>
      <c r="B44">
        <v>1656</v>
      </c>
      <c r="C44">
        <v>957</v>
      </c>
      <c r="D44">
        <v>2.15</v>
      </c>
      <c r="E44">
        <v>1</v>
      </c>
      <c r="F44" s="2">
        <f t="shared" si="53"/>
        <v>1656</v>
      </c>
      <c r="G44" t="s">
        <v>11</v>
      </c>
      <c r="H44" s="20"/>
      <c r="I44" s="21"/>
      <c r="J44">
        <v>1656</v>
      </c>
      <c r="K44" s="94">
        <f t="shared" si="25"/>
        <v>3.50455E-2</v>
      </c>
      <c r="L44" s="97">
        <f t="shared" si="26"/>
        <v>6.3099000000000002E-2</v>
      </c>
      <c r="M44" s="94">
        <f t="shared" si="27"/>
        <v>0.119187</v>
      </c>
      <c r="N44">
        <v>1</v>
      </c>
      <c r="O44" s="27">
        <f t="shared" si="28"/>
        <v>58.035347999999999</v>
      </c>
      <c r="P44" s="27">
        <f t="shared" si="29"/>
        <v>104.491944</v>
      </c>
      <c r="Q44" s="27">
        <f t="shared" si="30"/>
        <v>197.373672</v>
      </c>
      <c r="R44" s="27"/>
      <c r="S44" s="27"/>
      <c r="T44" s="27"/>
      <c r="U44" s="18"/>
      <c r="V44">
        <v>2.3999999999999998E-3</v>
      </c>
      <c r="W44">
        <v>0.99760000000000004</v>
      </c>
      <c r="X44" s="94">
        <f t="shared" si="31"/>
        <v>0.13928483519999998</v>
      </c>
      <c r="Y44" s="94">
        <f t="shared" si="32"/>
        <v>0.25078066560000001</v>
      </c>
      <c r="Z44" s="94">
        <f t="shared" si="33"/>
        <v>0.47369681279999998</v>
      </c>
      <c r="AA44" s="94">
        <f t="shared" si="34"/>
        <v>57.896063164800005</v>
      </c>
      <c r="AB44" s="94">
        <f t="shared" si="35"/>
        <v>104.24116333440001</v>
      </c>
      <c r="AC44" s="94">
        <f t="shared" si="36"/>
        <v>196.8999751872</v>
      </c>
      <c r="AJ44" s="18"/>
      <c r="AK44">
        <v>0</v>
      </c>
      <c r="AL44" s="34">
        <f t="shared" si="48"/>
        <v>0</v>
      </c>
      <c r="AM44" s="34">
        <f t="shared" si="49"/>
        <v>1</v>
      </c>
      <c r="AN44" s="94">
        <f t="shared" si="38"/>
        <v>0</v>
      </c>
      <c r="AO44" s="94">
        <f t="shared" si="39"/>
        <v>0</v>
      </c>
      <c r="AP44" s="94">
        <f t="shared" si="50"/>
        <v>57.896063164800005</v>
      </c>
      <c r="AQ44" s="27"/>
      <c r="AR44" s="27"/>
      <c r="AS44" s="94">
        <f t="shared" si="41"/>
        <v>0</v>
      </c>
      <c r="AT44" s="94">
        <f t="shared" si="51"/>
        <v>0</v>
      </c>
      <c r="AU44" s="94">
        <f t="shared" si="43"/>
        <v>104.24116333440001</v>
      </c>
      <c r="AV44" s="27"/>
      <c r="AW44" s="27"/>
      <c r="AX44" s="94">
        <f t="shared" si="44"/>
        <v>0</v>
      </c>
      <c r="AY44" s="94">
        <f t="shared" si="45"/>
        <v>0</v>
      </c>
      <c r="AZ44" s="27">
        <f t="shared" si="52"/>
        <v>196.8999751872</v>
      </c>
      <c r="BA44" s="27"/>
      <c r="BB44" s="27"/>
      <c r="BC44" s="18"/>
    </row>
    <row r="45" spans="1:67" x14ac:dyDescent="0.2">
      <c r="A45" s="3" t="s">
        <v>67</v>
      </c>
      <c r="B45">
        <v>1299</v>
      </c>
      <c r="C45">
        <v>6774</v>
      </c>
      <c r="D45">
        <v>0.09</v>
      </c>
      <c r="E45">
        <v>0.13</v>
      </c>
      <c r="F45" s="2">
        <f t="shared" si="53"/>
        <v>168.87</v>
      </c>
      <c r="G45" t="s">
        <v>11</v>
      </c>
      <c r="H45" s="20"/>
      <c r="I45" s="21"/>
      <c r="J45">
        <v>169</v>
      </c>
      <c r="K45" s="94">
        <f t="shared" si="25"/>
        <v>3.50455E-2</v>
      </c>
      <c r="L45" s="97">
        <f t="shared" si="26"/>
        <v>6.3099000000000002E-2</v>
      </c>
      <c r="M45" s="94">
        <f t="shared" si="27"/>
        <v>0.119187</v>
      </c>
      <c r="N45">
        <v>0.13</v>
      </c>
      <c r="O45" s="27">
        <f t="shared" si="28"/>
        <v>0.76994963500000002</v>
      </c>
      <c r="P45" s="27">
        <f t="shared" si="29"/>
        <v>1.38628503</v>
      </c>
      <c r="Q45" s="27">
        <f t="shared" si="30"/>
        <v>2.6185383900000003</v>
      </c>
      <c r="R45" s="27"/>
      <c r="S45" s="27"/>
      <c r="T45" s="27"/>
      <c r="U45" s="18"/>
      <c r="V45">
        <v>2.3999999999999998E-3</v>
      </c>
      <c r="W45">
        <v>0.99760000000000004</v>
      </c>
      <c r="X45" s="94">
        <f t="shared" si="31"/>
        <v>1.8478791239999999E-3</v>
      </c>
      <c r="Y45" s="94">
        <f t="shared" si="32"/>
        <v>3.3270840719999998E-3</v>
      </c>
      <c r="Z45" s="94">
        <f t="shared" si="33"/>
        <v>6.2844921360000004E-3</v>
      </c>
      <c r="AA45" s="94">
        <f t="shared" si="34"/>
        <v>0.76810175587600005</v>
      </c>
      <c r="AB45" s="94">
        <f t="shared" si="35"/>
        <v>1.3829579459280001</v>
      </c>
      <c r="AC45" s="94">
        <f t="shared" si="36"/>
        <v>2.6122538978640004</v>
      </c>
      <c r="AJ45" s="18"/>
      <c r="AK45">
        <v>320</v>
      </c>
      <c r="AL45" s="34">
        <f t="shared" si="48"/>
        <v>3.6529680365296802E-2</v>
      </c>
      <c r="AM45" s="34">
        <f t="shared" si="49"/>
        <v>0.9634703196347032</v>
      </c>
      <c r="AN45" s="94">
        <f t="shared" si="38"/>
        <v>2.8058511630173515E-2</v>
      </c>
      <c r="AO45" s="94">
        <f t="shared" si="39"/>
        <v>1.4029255815086758E-2</v>
      </c>
      <c r="AP45" s="94">
        <f t="shared" si="50"/>
        <v>0.75407250006091331</v>
      </c>
      <c r="AQ45" s="27"/>
      <c r="AR45" s="27"/>
      <c r="AS45" s="94">
        <f t="shared" si="41"/>
        <v>5.0519011723397261E-2</v>
      </c>
      <c r="AT45" s="94">
        <f t="shared" si="51"/>
        <v>2.5259505861698631E-2</v>
      </c>
      <c r="AU45" s="94">
        <f t="shared" si="43"/>
        <v>1.3576984400663015</v>
      </c>
      <c r="AV45" s="27"/>
      <c r="AW45" s="27"/>
      <c r="AX45" s="94">
        <f t="shared" si="44"/>
        <v>9.5424799921972614E-2</v>
      </c>
      <c r="AY45" s="94">
        <f t="shared" si="45"/>
        <v>4.7712399960986307E-2</v>
      </c>
      <c r="AZ45" s="27">
        <f t="shared" si="52"/>
        <v>2.5645414979030141</v>
      </c>
      <c r="BA45" s="27"/>
      <c r="BB45" s="27"/>
      <c r="BC45" s="18"/>
    </row>
    <row r="46" spans="1:67" x14ac:dyDescent="0.2">
      <c r="A46" s="3" t="s">
        <v>68</v>
      </c>
      <c r="B46">
        <v>1300</v>
      </c>
      <c r="C46">
        <v>6063</v>
      </c>
      <c r="D46">
        <v>0.17</v>
      </c>
      <c r="E46">
        <v>0.18</v>
      </c>
      <c r="F46" s="2">
        <f t="shared" si="53"/>
        <v>234</v>
      </c>
      <c r="G46" t="s">
        <v>11</v>
      </c>
      <c r="H46" s="20"/>
      <c r="I46" s="21"/>
      <c r="J46">
        <v>234</v>
      </c>
      <c r="K46" s="94">
        <f t="shared" si="25"/>
        <v>3.50455E-2</v>
      </c>
      <c r="L46" s="97">
        <f t="shared" si="26"/>
        <v>6.3099000000000002E-2</v>
      </c>
      <c r="M46" s="94">
        <f t="shared" si="27"/>
        <v>0.119187</v>
      </c>
      <c r="N46">
        <v>0.18</v>
      </c>
      <c r="O46" s="27">
        <f t="shared" si="28"/>
        <v>1.4761164599999999</v>
      </c>
      <c r="P46" s="27">
        <f t="shared" si="29"/>
        <v>2.6577298800000002</v>
      </c>
      <c r="Q46" s="27">
        <f t="shared" si="30"/>
        <v>5.0201564400000001</v>
      </c>
      <c r="R46" s="27"/>
      <c r="S46" s="27"/>
      <c r="T46" s="27"/>
      <c r="U46" s="18"/>
      <c r="V46">
        <v>2.3999999999999998E-3</v>
      </c>
      <c r="W46">
        <v>0.99760000000000004</v>
      </c>
      <c r="X46" s="94">
        <f t="shared" si="31"/>
        <v>3.5426795039999993E-3</v>
      </c>
      <c r="Y46" s="94">
        <f t="shared" si="32"/>
        <v>6.3785517120000003E-3</v>
      </c>
      <c r="Z46" s="94">
        <f t="shared" si="33"/>
        <v>1.2048375455999998E-2</v>
      </c>
      <c r="AA46" s="94">
        <f t="shared" si="34"/>
        <v>1.472573780496</v>
      </c>
      <c r="AB46" s="94">
        <f t="shared" si="35"/>
        <v>2.6513513282880004</v>
      </c>
      <c r="AC46" s="94">
        <f t="shared" si="36"/>
        <v>5.0081080645440004</v>
      </c>
      <c r="AJ46" s="18"/>
      <c r="AK46">
        <v>2</v>
      </c>
      <c r="AL46" s="34">
        <f t="shared" si="48"/>
        <v>2.2831050228310502E-4</v>
      </c>
      <c r="AM46" s="34">
        <f t="shared" si="49"/>
        <v>0.99977168949771689</v>
      </c>
      <c r="AN46" s="94">
        <f t="shared" si="38"/>
        <v>3.3620405947397256E-4</v>
      </c>
      <c r="AO46" s="94">
        <f t="shared" si="39"/>
        <v>1.6810202973698628E-4</v>
      </c>
      <c r="AP46" s="94">
        <f t="shared" si="50"/>
        <v>1.4724056784662631</v>
      </c>
      <c r="AQ46" s="27"/>
      <c r="AR46" s="27"/>
      <c r="AS46" s="94">
        <f t="shared" si="41"/>
        <v>6.0533135349041106E-4</v>
      </c>
      <c r="AT46" s="94">
        <f t="shared" si="51"/>
        <v>3.0266567674520553E-4</v>
      </c>
      <c r="AU46" s="94">
        <f t="shared" si="43"/>
        <v>2.651048662611255</v>
      </c>
      <c r="AV46" s="27"/>
      <c r="AW46" s="27"/>
      <c r="AX46" s="94">
        <f t="shared" si="44"/>
        <v>1.1434036677041095E-3</v>
      </c>
      <c r="AY46" s="94">
        <f t="shared" si="45"/>
        <v>5.7170183385205477E-4</v>
      </c>
      <c r="AZ46" s="27">
        <f t="shared" si="52"/>
        <v>5.0075363627101481</v>
      </c>
      <c r="BA46" s="27"/>
      <c r="BB46" s="27"/>
      <c r="BC46" s="18"/>
    </row>
    <row r="47" spans="1:67" x14ac:dyDescent="0.2">
      <c r="A47" s="3" t="s">
        <v>69</v>
      </c>
      <c r="B47">
        <v>1811</v>
      </c>
      <c r="C47">
        <v>1137</v>
      </c>
      <c r="D47">
        <v>0.16</v>
      </c>
      <c r="E47">
        <v>0.4</v>
      </c>
      <c r="F47" s="2">
        <f t="shared" si="53"/>
        <v>724.40000000000009</v>
      </c>
      <c r="G47" t="s">
        <v>11</v>
      </c>
      <c r="H47" s="20"/>
      <c r="I47" s="21"/>
      <c r="J47">
        <v>724</v>
      </c>
      <c r="K47" s="94">
        <f t="shared" si="25"/>
        <v>3.50455E-2</v>
      </c>
      <c r="L47" s="97">
        <f t="shared" si="26"/>
        <v>6.3099000000000002E-2</v>
      </c>
      <c r="M47" s="94">
        <f t="shared" si="27"/>
        <v>0.119187</v>
      </c>
      <c r="N47">
        <v>0.4</v>
      </c>
      <c r="O47" s="27">
        <f t="shared" si="28"/>
        <v>10.149176800000001</v>
      </c>
      <c r="P47" s="27">
        <f t="shared" si="29"/>
        <v>18.273470400000001</v>
      </c>
      <c r="Q47" s="27">
        <f t="shared" si="30"/>
        <v>34.516555199999999</v>
      </c>
      <c r="R47" s="27"/>
      <c r="S47" s="27"/>
      <c r="T47" s="27"/>
      <c r="U47" s="18"/>
      <c r="V47">
        <v>2.3999999999999998E-3</v>
      </c>
      <c r="W47">
        <v>0.99760000000000004</v>
      </c>
      <c r="X47" s="94">
        <f t="shared" si="31"/>
        <v>2.4358024320000001E-2</v>
      </c>
      <c r="Y47" s="94">
        <f t="shared" si="32"/>
        <v>4.3856328959999996E-2</v>
      </c>
      <c r="Z47" s="94">
        <f t="shared" si="33"/>
        <v>8.2839732479999997E-2</v>
      </c>
      <c r="AA47" s="94">
        <f t="shared" si="34"/>
        <v>10.124818775680001</v>
      </c>
      <c r="AB47" s="94">
        <f t="shared" si="35"/>
        <v>18.22961407104</v>
      </c>
      <c r="AC47" s="94">
        <f t="shared" si="36"/>
        <v>34.433715467520003</v>
      </c>
      <c r="AJ47" s="18"/>
      <c r="AK47">
        <v>0</v>
      </c>
      <c r="AL47" s="34">
        <f t="shared" si="48"/>
        <v>0</v>
      </c>
      <c r="AM47" s="34">
        <f t="shared" si="49"/>
        <v>1</v>
      </c>
      <c r="AN47" s="94">
        <f t="shared" si="38"/>
        <v>0</v>
      </c>
      <c r="AO47" s="94">
        <f t="shared" si="39"/>
        <v>0</v>
      </c>
      <c r="AP47" s="94">
        <f t="shared" si="50"/>
        <v>10.124818775680001</v>
      </c>
      <c r="AQ47" s="27"/>
      <c r="AR47" s="27"/>
      <c r="AS47" s="94">
        <f t="shared" si="41"/>
        <v>0</v>
      </c>
      <c r="AT47" s="94">
        <f t="shared" si="51"/>
        <v>0</v>
      </c>
      <c r="AU47" s="94">
        <f t="shared" si="43"/>
        <v>18.22961407104</v>
      </c>
      <c r="AV47" s="27"/>
      <c r="AW47" s="27"/>
      <c r="AX47" s="94">
        <f t="shared" si="44"/>
        <v>0</v>
      </c>
      <c r="AY47" s="94">
        <f t="shared" si="45"/>
        <v>0</v>
      </c>
      <c r="AZ47" s="27">
        <f t="shared" si="52"/>
        <v>34.433715467520003</v>
      </c>
      <c r="BA47" s="27"/>
      <c r="BB47" s="27"/>
      <c r="BC47" s="18"/>
    </row>
    <row r="48" spans="1:67" x14ac:dyDescent="0.2">
      <c r="A48" s="3" t="s">
        <v>70</v>
      </c>
      <c r="B48">
        <v>1685</v>
      </c>
      <c r="C48">
        <v>1450</v>
      </c>
      <c r="D48">
        <v>0.06</v>
      </c>
      <c r="E48">
        <v>0.1</v>
      </c>
      <c r="F48" s="2">
        <f t="shared" si="53"/>
        <v>168.5</v>
      </c>
      <c r="G48" t="s">
        <v>11</v>
      </c>
      <c r="H48" s="20"/>
      <c r="I48" s="21"/>
      <c r="J48">
        <v>169</v>
      </c>
      <c r="K48" s="94">
        <f t="shared" si="25"/>
        <v>3.50455E-2</v>
      </c>
      <c r="L48" s="97">
        <f t="shared" si="26"/>
        <v>6.3099000000000002E-2</v>
      </c>
      <c r="M48" s="94">
        <f t="shared" si="27"/>
        <v>0.119187</v>
      </c>
      <c r="N48">
        <v>0.1</v>
      </c>
      <c r="O48" s="27">
        <f t="shared" si="28"/>
        <v>0.59226895000000002</v>
      </c>
      <c r="P48" s="27">
        <f t="shared" si="29"/>
        <v>1.0663731000000001</v>
      </c>
      <c r="Q48" s="27">
        <f t="shared" si="30"/>
        <v>2.0142603000000001</v>
      </c>
      <c r="R48" s="27"/>
      <c r="S48" s="27"/>
      <c r="T48" s="27"/>
      <c r="U48" s="18"/>
      <c r="V48">
        <v>2.3999999999999998E-3</v>
      </c>
      <c r="W48">
        <v>0.99760000000000004</v>
      </c>
      <c r="X48" s="94">
        <f t="shared" si="31"/>
        <v>1.4214454799999999E-3</v>
      </c>
      <c r="Y48" s="94">
        <f t="shared" si="32"/>
        <v>2.55929544E-3</v>
      </c>
      <c r="Z48" s="94">
        <f t="shared" si="33"/>
        <v>4.8342247199999995E-3</v>
      </c>
      <c r="AA48" s="94">
        <f t="shared" si="34"/>
        <v>0.59084750452000001</v>
      </c>
      <c r="AB48" s="94">
        <f t="shared" si="35"/>
        <v>1.0638138045600001</v>
      </c>
      <c r="AC48" s="94">
        <f t="shared" si="36"/>
        <v>2.0094260752800004</v>
      </c>
      <c r="AJ48" s="18"/>
      <c r="AK48">
        <v>0</v>
      </c>
      <c r="AL48" s="34">
        <f t="shared" si="48"/>
        <v>0</v>
      </c>
      <c r="AM48" s="34">
        <f t="shared" si="49"/>
        <v>1</v>
      </c>
      <c r="AN48" s="94">
        <f t="shared" si="38"/>
        <v>0</v>
      </c>
      <c r="AO48" s="94">
        <f t="shared" si="39"/>
        <v>0</v>
      </c>
      <c r="AP48" s="94">
        <f t="shared" si="50"/>
        <v>0.59084750452000001</v>
      </c>
      <c r="AQ48" s="27"/>
      <c r="AR48" s="27"/>
      <c r="AS48" s="94">
        <f t="shared" si="41"/>
        <v>0</v>
      </c>
      <c r="AT48" s="94">
        <f t="shared" si="51"/>
        <v>0</v>
      </c>
      <c r="AU48" s="94">
        <f t="shared" si="43"/>
        <v>1.0638138045600001</v>
      </c>
      <c r="AV48" s="27"/>
      <c r="AW48" s="27"/>
      <c r="AX48" s="94">
        <f t="shared" si="44"/>
        <v>0</v>
      </c>
      <c r="AY48" s="94">
        <f t="shared" si="45"/>
        <v>0</v>
      </c>
      <c r="AZ48" s="27">
        <f t="shared" si="52"/>
        <v>2.0094260752800004</v>
      </c>
      <c r="BA48" s="27"/>
      <c r="BB48" s="27"/>
      <c r="BC48" s="18"/>
      <c r="BD48" s="251"/>
      <c r="BE48" s="251"/>
      <c r="BF48" s="251"/>
      <c r="BG48" s="251"/>
      <c r="BH48" s="251"/>
      <c r="BI48" s="251"/>
      <c r="BJ48" s="251"/>
      <c r="BK48" s="251"/>
      <c r="BL48" s="251"/>
      <c r="BM48" s="251"/>
      <c r="BN48" s="251"/>
      <c r="BO48" s="251"/>
    </row>
    <row r="49" spans="1:67" x14ac:dyDescent="0.2">
      <c r="A49" s="3" t="s">
        <v>71</v>
      </c>
      <c r="B49">
        <v>1693</v>
      </c>
      <c r="C49">
        <v>1035</v>
      </c>
      <c r="D49">
        <v>1.42</v>
      </c>
      <c r="E49">
        <v>1.1499999999999999</v>
      </c>
      <c r="F49" s="2">
        <f t="shared" si="53"/>
        <v>1946.9499999999998</v>
      </c>
      <c r="G49" t="s">
        <v>11</v>
      </c>
      <c r="H49" s="20"/>
      <c r="I49" s="21"/>
      <c r="J49">
        <v>1947</v>
      </c>
      <c r="K49" s="94">
        <f t="shared" si="25"/>
        <v>3.50455E-2</v>
      </c>
      <c r="L49" s="97">
        <f t="shared" si="26"/>
        <v>6.3099000000000002E-2</v>
      </c>
      <c r="M49" s="94">
        <f t="shared" si="27"/>
        <v>0.119187</v>
      </c>
      <c r="N49">
        <v>1.1499999999999999</v>
      </c>
      <c r="O49" s="27">
        <f t="shared" si="28"/>
        <v>78.46862677499999</v>
      </c>
      <c r="P49" s="27">
        <f t="shared" si="29"/>
        <v>141.28181594999998</v>
      </c>
      <c r="Q49" s="27">
        <f t="shared" si="30"/>
        <v>266.86565234999995</v>
      </c>
      <c r="R49" s="27"/>
      <c r="S49" s="27"/>
      <c r="T49" s="27"/>
      <c r="U49" s="18"/>
      <c r="V49">
        <v>2.3999999999999998E-3</v>
      </c>
      <c r="W49">
        <v>0.99760000000000004</v>
      </c>
      <c r="X49" s="94">
        <f t="shared" si="31"/>
        <v>0.18832470425999995</v>
      </c>
      <c r="Y49" s="94">
        <f t="shared" si="32"/>
        <v>0.33907635827999993</v>
      </c>
      <c r="Z49" s="94">
        <f t="shared" si="33"/>
        <v>0.6404775656399998</v>
      </c>
      <c r="AA49" s="94">
        <f t="shared" si="34"/>
        <v>78.280302070739992</v>
      </c>
      <c r="AB49" s="94">
        <f t="shared" si="35"/>
        <v>140.94273959172</v>
      </c>
      <c r="AC49" s="94">
        <f t="shared" si="36"/>
        <v>266.22517478435998</v>
      </c>
      <c r="AJ49" s="18"/>
      <c r="AK49">
        <v>155</v>
      </c>
      <c r="AL49" s="34">
        <f t="shared" si="48"/>
        <v>1.7694063926940638E-2</v>
      </c>
      <c r="AM49" s="34">
        <f t="shared" si="49"/>
        <v>0.98230593607305938</v>
      </c>
      <c r="AN49" s="94">
        <f t="shared" si="38"/>
        <v>1.3850966690598971</v>
      </c>
      <c r="AO49" s="94">
        <f t="shared" si="39"/>
        <v>0.69254833452994857</v>
      </c>
      <c r="AP49" s="94">
        <f t="shared" si="50"/>
        <v>77.587753736210047</v>
      </c>
      <c r="AQ49" s="27"/>
      <c r="AR49" s="27"/>
      <c r="AS49" s="94">
        <f t="shared" si="41"/>
        <v>2.4938498443740409</v>
      </c>
      <c r="AT49" s="94">
        <f t="shared" si="51"/>
        <v>1.2469249221870204</v>
      </c>
      <c r="AU49" s="94">
        <f t="shared" si="43"/>
        <v>139.69581466953298</v>
      </c>
      <c r="AV49" s="27"/>
      <c r="AW49" s="27"/>
      <c r="AX49" s="94">
        <f t="shared" si="44"/>
        <v>4.7106052615954104</v>
      </c>
      <c r="AY49" s="94">
        <f t="shared" si="45"/>
        <v>2.3553026307977052</v>
      </c>
      <c r="AZ49" s="27">
        <f t="shared" si="52"/>
        <v>263.86987215356231</v>
      </c>
      <c r="BA49" s="27"/>
      <c r="BB49" s="27"/>
      <c r="BC49" s="18"/>
      <c r="BD49" s="251"/>
      <c r="BE49" s="251"/>
      <c r="BF49" s="251"/>
      <c r="BG49" s="251"/>
      <c r="BH49" s="251"/>
      <c r="BI49" s="251"/>
      <c r="BJ49" s="251"/>
      <c r="BK49" s="251"/>
      <c r="BL49" s="251"/>
      <c r="BM49" s="251"/>
      <c r="BN49" s="251"/>
      <c r="BO49" s="251"/>
    </row>
    <row r="50" spans="1:67" x14ac:dyDescent="0.2">
      <c r="A50" s="247" t="s">
        <v>72</v>
      </c>
      <c r="B50" s="247">
        <v>1595</v>
      </c>
      <c r="C50" s="247">
        <v>4718</v>
      </c>
      <c r="D50" s="247">
        <v>0.52</v>
      </c>
      <c r="E50" s="247">
        <v>0.6</v>
      </c>
      <c r="F50" s="263">
        <f t="shared" si="53"/>
        <v>957</v>
      </c>
      <c r="G50" s="247" t="s">
        <v>11</v>
      </c>
      <c r="H50" s="73"/>
      <c r="I50" s="73"/>
      <c r="J50" s="247">
        <v>957</v>
      </c>
      <c r="K50" s="253">
        <f t="shared" si="25"/>
        <v>3.50455E-2</v>
      </c>
      <c r="L50" s="262">
        <f t="shared" si="26"/>
        <v>6.3099000000000002E-2</v>
      </c>
      <c r="M50" s="253">
        <f t="shared" si="27"/>
        <v>0.119187</v>
      </c>
      <c r="N50" s="247">
        <v>0.6</v>
      </c>
      <c r="O50" s="255">
        <f t="shared" si="28"/>
        <v>20.1231261</v>
      </c>
      <c r="P50" s="255">
        <f t="shared" si="29"/>
        <v>36.231445800000003</v>
      </c>
      <c r="Q50" s="255">
        <f t="shared" si="30"/>
        <v>68.437175400000001</v>
      </c>
      <c r="R50" s="255"/>
      <c r="S50" s="255"/>
      <c r="T50" s="255"/>
      <c r="U50" s="30"/>
      <c r="V50">
        <v>2.3999999999999998E-3</v>
      </c>
      <c r="W50">
        <v>0.99760000000000004</v>
      </c>
      <c r="X50" s="94">
        <f t="shared" si="31"/>
        <v>4.8295502639999995E-2</v>
      </c>
      <c r="Y50" s="94">
        <f t="shared" si="32"/>
        <v>8.695546992E-2</v>
      </c>
      <c r="Z50" s="94">
        <f t="shared" si="33"/>
        <v>0.16424922096</v>
      </c>
      <c r="AA50" s="94">
        <f t="shared" si="34"/>
        <v>20.074830597360002</v>
      </c>
      <c r="AB50" s="94">
        <f t="shared" si="35"/>
        <v>36.144490330080004</v>
      </c>
      <c r="AC50" s="94">
        <f t="shared" si="36"/>
        <v>68.272926179039999</v>
      </c>
      <c r="AJ50" s="19"/>
      <c r="AK50">
        <v>10</v>
      </c>
      <c r="AL50" s="34">
        <f t="shared" si="48"/>
        <v>1.1415525114155251E-3</v>
      </c>
      <c r="AM50" s="34">
        <f t="shared" si="49"/>
        <v>0.99885844748858443</v>
      </c>
      <c r="AN50" s="94">
        <f t="shared" si="38"/>
        <v>2.2916473284657537E-2</v>
      </c>
      <c r="AO50" s="94">
        <f t="shared" si="39"/>
        <v>1.1458236642328768E-2</v>
      </c>
      <c r="AP50" s="94">
        <f t="shared" si="50"/>
        <v>20.063372360717672</v>
      </c>
      <c r="AQ50" s="27"/>
      <c r="AR50" s="27"/>
      <c r="AS50" s="94">
        <f t="shared" si="41"/>
        <v>4.1260833710136988E-2</v>
      </c>
      <c r="AT50" s="94">
        <f t="shared" si="51"/>
        <v>2.0630416855068494E-2</v>
      </c>
      <c r="AU50" s="94">
        <f t="shared" si="43"/>
        <v>36.123859913224933</v>
      </c>
      <c r="AV50" s="27"/>
      <c r="AW50" s="27"/>
      <c r="AX50" s="94">
        <f t="shared" si="44"/>
        <v>7.7937130341369856E-2</v>
      </c>
      <c r="AY50" s="94">
        <f t="shared" si="45"/>
        <v>3.8968565170684928E-2</v>
      </c>
      <c r="AZ50" s="27">
        <f t="shared" si="52"/>
        <v>68.233957613869322</v>
      </c>
      <c r="BA50" s="27"/>
      <c r="BB50" s="27"/>
      <c r="BC50" s="117"/>
      <c r="BD50" s="249"/>
      <c r="BE50" s="249"/>
      <c r="BF50" s="249"/>
      <c r="BG50" s="249"/>
      <c r="BH50" s="249"/>
      <c r="BI50" s="249"/>
      <c r="BJ50" s="249"/>
      <c r="BK50" s="249"/>
      <c r="BL50" s="249"/>
      <c r="BM50" s="249"/>
      <c r="BN50" s="249"/>
      <c r="BO50" s="249"/>
    </row>
    <row r="51" spans="1:67" x14ac:dyDescent="0.2">
      <c r="E51" s="251"/>
      <c r="AC51" s="27"/>
      <c r="AD51" s="27"/>
      <c r="AE51" s="27"/>
      <c r="AF51" s="27"/>
      <c r="AG51" s="27"/>
      <c r="AH51" s="27"/>
      <c r="AI51" s="27"/>
      <c r="AJ51" s="27"/>
      <c r="BC51" s="118"/>
      <c r="BD51" s="249"/>
      <c r="BE51" s="249"/>
      <c r="BF51" s="249"/>
      <c r="BG51" s="249"/>
      <c r="BH51" s="249"/>
      <c r="BI51" s="249"/>
      <c r="BJ51" s="249"/>
      <c r="BK51" s="249"/>
      <c r="BL51" s="249"/>
      <c r="BM51" s="249"/>
      <c r="BN51" s="249"/>
      <c r="BO51" s="249"/>
    </row>
    <row r="52" spans="1:67" x14ac:dyDescent="0.2">
      <c r="BC52" s="59"/>
      <c r="BD52" s="35"/>
      <c r="BE52" s="64"/>
      <c r="BF52" s="35"/>
      <c r="BG52" s="35"/>
      <c r="BH52" s="35"/>
      <c r="BI52" s="35"/>
    </row>
    <row r="53" spans="1:67" x14ac:dyDescent="0.2">
      <c r="BC53" s="18"/>
      <c r="BD53" s="7" t="s">
        <v>84</v>
      </c>
      <c r="BE53" s="67"/>
      <c r="BF53" s="7"/>
      <c r="BG53" s="7"/>
      <c r="BH53" s="7"/>
      <c r="BI53" s="7"/>
      <c r="BJ53" s="1"/>
      <c r="BK53" s="1"/>
      <c r="BL53" s="1"/>
      <c r="BM53" s="1"/>
      <c r="BN53" s="1"/>
      <c r="BO53" s="1"/>
    </row>
    <row r="54" spans="1:67" x14ac:dyDescent="0.2">
      <c r="BC54" s="18"/>
      <c r="BD54" s="9" t="s">
        <v>77</v>
      </c>
      <c r="BE54" s="9" t="s">
        <v>78</v>
      </c>
      <c r="BF54" s="9" t="s">
        <v>79</v>
      </c>
      <c r="BG54" s="9"/>
      <c r="BH54" s="9"/>
      <c r="BI54" s="9"/>
    </row>
    <row r="55" spans="1:67" x14ac:dyDescent="0.2">
      <c r="M55" s="177"/>
      <c r="BC55" s="18"/>
      <c r="BD55" s="9"/>
      <c r="BE55" s="9"/>
      <c r="BF55" s="9"/>
      <c r="BG55" s="9"/>
      <c r="BH55" s="9"/>
      <c r="BI55" s="9"/>
    </row>
    <row r="56" spans="1:67" x14ac:dyDescent="0.2">
      <c r="BC56" s="19"/>
      <c r="BD56" s="33">
        <v>0.88480000000000003</v>
      </c>
      <c r="BE56" s="33">
        <v>0.94579999999999997</v>
      </c>
      <c r="BF56" s="33">
        <v>0.97699999999999998</v>
      </c>
      <c r="BG56" s="33"/>
      <c r="BH56" s="33"/>
      <c r="BI56" s="33"/>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FCC66-40CF-44C6-9129-BD3CBA780914}">
  <dimension ref="A1:EU57"/>
  <sheetViews>
    <sheetView zoomScale="75" zoomScaleNormal="60" workbookViewId="0">
      <selection activeCell="G57" sqref="G57"/>
    </sheetView>
  </sheetViews>
  <sheetFormatPr baseColWidth="10" defaultColWidth="8.83203125" defaultRowHeight="16" x14ac:dyDescent="0.2"/>
  <cols>
    <col min="11" max="11" width="20.5" customWidth="1"/>
    <col min="12" max="12" width="18.1640625" customWidth="1"/>
    <col min="13" max="13" width="21.5" customWidth="1"/>
    <col min="39" max="39" width="13.1640625" customWidth="1"/>
    <col min="40" max="41" width="27.83203125" customWidth="1"/>
    <col min="42" max="42" width="33.1640625" customWidth="1"/>
    <col min="43" max="43" width="26.1640625" customWidth="1"/>
    <col min="45" max="45" width="16.5" customWidth="1"/>
    <col min="46" max="46" width="15.33203125" customWidth="1"/>
    <col min="47" max="47" width="13.5" customWidth="1"/>
    <col min="50" max="51" width="17.33203125" customWidth="1"/>
    <col min="52" max="52" width="20.83203125" customWidth="1"/>
    <col min="82" max="82" width="24.5" customWidth="1"/>
    <col min="83" max="83" width="20.1640625" customWidth="1"/>
    <col min="84" max="84" width="12.1640625" customWidth="1"/>
    <col min="86" max="86" width="10.6640625" customWidth="1"/>
    <col min="87" max="87" width="10.5" customWidth="1"/>
    <col min="88" max="88" width="10.6640625" customWidth="1"/>
    <col min="90" max="90" width="11.6640625" customWidth="1"/>
    <col min="92" max="92" width="12" customWidth="1"/>
    <col min="93" max="93" width="10.33203125" customWidth="1"/>
    <col min="94" max="94" width="11.5" customWidth="1"/>
    <col min="95" max="95" width="9.83203125" customWidth="1"/>
    <col min="96" max="96" width="11" customWidth="1"/>
    <col min="98" max="98" width="11" customWidth="1"/>
    <col min="99" max="99" width="10.33203125" customWidth="1"/>
    <col min="100" max="100" width="11.83203125" customWidth="1"/>
    <col min="138" max="138" width="12.83203125" customWidth="1"/>
  </cols>
  <sheetData>
    <row r="1" spans="1:151" ht="34" x14ac:dyDescent="0.4">
      <c r="A1" s="14" t="s">
        <v>46</v>
      </c>
      <c r="B1" s="11"/>
      <c r="C1" s="11"/>
      <c r="D1" s="11"/>
      <c r="E1" s="11"/>
      <c r="F1" s="11"/>
      <c r="G1" s="11" t="s">
        <v>22</v>
      </c>
      <c r="H1" s="31"/>
      <c r="I1" s="32"/>
      <c r="J1" s="12" t="s">
        <v>103</v>
      </c>
      <c r="K1" s="12"/>
      <c r="L1" s="12"/>
      <c r="M1" s="12"/>
      <c r="N1" s="11"/>
      <c r="O1" s="66" t="s">
        <v>133</v>
      </c>
      <c r="P1" s="11"/>
      <c r="Q1" s="43" t="s">
        <v>132</v>
      </c>
      <c r="R1" s="11"/>
      <c r="S1" s="11"/>
      <c r="T1" s="11"/>
      <c r="U1" s="11"/>
      <c r="V1" s="98" t="s">
        <v>181</v>
      </c>
      <c r="W1" s="99"/>
      <c r="X1" s="99" t="s">
        <v>189</v>
      </c>
      <c r="Y1" s="99"/>
      <c r="Z1" s="99"/>
      <c r="AA1" s="99"/>
      <c r="AB1" s="99"/>
      <c r="AC1" s="99"/>
      <c r="AD1" s="99" t="s">
        <v>188</v>
      </c>
      <c r="AE1" s="99"/>
      <c r="AF1" s="99"/>
      <c r="AG1" s="11"/>
      <c r="AH1" s="11"/>
      <c r="AI1" s="11"/>
      <c r="AJ1" s="11"/>
      <c r="AK1" s="65" t="s">
        <v>123</v>
      </c>
      <c r="AL1" s="11"/>
      <c r="AM1" s="11"/>
      <c r="AN1" s="11"/>
      <c r="AO1" s="11"/>
      <c r="AP1" s="11"/>
      <c r="AQ1" s="44"/>
      <c r="AR1" s="44"/>
      <c r="AS1" s="11"/>
      <c r="AT1" s="11"/>
      <c r="AU1" s="11"/>
      <c r="AV1" s="44"/>
      <c r="AW1" s="44"/>
      <c r="AX1" s="11"/>
      <c r="AY1" s="11"/>
      <c r="AZ1" s="11"/>
      <c r="BA1" s="44"/>
      <c r="BB1" s="44"/>
      <c r="BC1" s="11"/>
      <c r="BD1" s="61" t="s">
        <v>83</v>
      </c>
      <c r="BE1" s="11"/>
      <c r="BF1" s="11"/>
      <c r="BG1" s="11"/>
      <c r="BH1" s="11"/>
      <c r="BI1" s="11"/>
      <c r="BJ1" s="11"/>
      <c r="BK1" s="11"/>
      <c r="BL1" s="11"/>
      <c r="BM1" s="11"/>
      <c r="BN1" s="11"/>
      <c r="BO1" s="63"/>
      <c r="BP1" s="11"/>
      <c r="BQ1" s="43" t="s">
        <v>233</v>
      </c>
      <c r="BR1" s="11"/>
      <c r="BS1" s="11"/>
      <c r="BT1" s="11"/>
      <c r="BU1" s="11"/>
      <c r="BV1" s="11"/>
      <c r="BW1" s="11"/>
      <c r="BX1" s="11"/>
      <c r="BY1" s="11"/>
      <c r="BZ1" s="11"/>
      <c r="CA1" s="11"/>
      <c r="CB1" s="11"/>
      <c r="CC1" s="11"/>
      <c r="CD1" s="164" t="s">
        <v>291</v>
      </c>
      <c r="CE1" s="11"/>
      <c r="CF1" s="139"/>
      <c r="CG1" s="139"/>
      <c r="CH1" s="139"/>
      <c r="CI1" s="139"/>
      <c r="CJ1" s="139"/>
      <c r="CK1" s="139"/>
      <c r="CL1" s="139"/>
      <c r="CM1" s="139"/>
      <c r="CN1" s="139"/>
      <c r="CO1" s="139"/>
      <c r="CP1" s="139"/>
      <c r="CQ1" s="139"/>
      <c r="CR1" s="139"/>
      <c r="CS1" s="139"/>
      <c r="CT1" s="139"/>
      <c r="CU1" s="139"/>
      <c r="CV1" s="139"/>
      <c r="CW1" s="139"/>
      <c r="CX1" s="11"/>
      <c r="CY1" s="164" t="s">
        <v>309</v>
      </c>
      <c r="CZ1" s="164"/>
      <c r="DA1" s="139"/>
      <c r="DB1" s="139"/>
      <c r="DC1" s="139"/>
      <c r="DD1" s="139"/>
      <c r="DE1" s="139"/>
      <c r="DF1" s="139"/>
      <c r="DG1" s="139"/>
      <c r="DH1" s="139"/>
      <c r="DI1" s="139"/>
      <c r="DJ1" s="139"/>
      <c r="DK1" s="139"/>
      <c r="DL1" s="139"/>
      <c r="DM1" s="139"/>
      <c r="DN1" s="139"/>
      <c r="DO1" s="139"/>
      <c r="DP1" s="139"/>
      <c r="DQ1" s="139"/>
      <c r="DR1" s="139"/>
      <c r="DS1" s="121"/>
      <c r="DT1" s="120" t="s">
        <v>411</v>
      </c>
      <c r="DU1" s="11"/>
      <c r="DV1" s="11"/>
      <c r="DW1" s="51"/>
      <c r="DX1" s="11"/>
      <c r="DY1" s="39"/>
      <c r="DZ1" s="39"/>
      <c r="EA1" s="39"/>
      <c r="EB1" s="39"/>
      <c r="EC1" s="121"/>
      <c r="ED1" s="120" t="s">
        <v>313</v>
      </c>
      <c r="EE1" s="11"/>
      <c r="EF1" s="11"/>
      <c r="EG1" s="51"/>
      <c r="EH1" s="11"/>
      <c r="EI1" s="39"/>
      <c r="EJ1" s="39"/>
      <c r="EK1" s="39"/>
      <c r="EL1" s="194"/>
      <c r="EM1" s="120" t="s">
        <v>313</v>
      </c>
      <c r="EN1" s="11"/>
      <c r="EO1" s="11"/>
      <c r="EP1" s="51"/>
      <c r="EQ1" s="11"/>
      <c r="ER1" s="39"/>
      <c r="ES1" s="39"/>
      <c r="ET1" s="39"/>
      <c r="EU1" s="194"/>
    </row>
    <row r="2" spans="1:151" ht="19" x14ac:dyDescent="0.25">
      <c r="A2" s="26"/>
      <c r="H2" s="20"/>
      <c r="I2" s="21"/>
      <c r="J2" s="6" t="s">
        <v>94</v>
      </c>
      <c r="K2" s="7"/>
      <c r="L2" s="7"/>
      <c r="M2" s="7"/>
      <c r="N2" s="7"/>
      <c r="O2" s="7" t="s">
        <v>95</v>
      </c>
      <c r="P2" s="7" t="s">
        <v>96</v>
      </c>
      <c r="Q2" s="7" t="s">
        <v>97</v>
      </c>
      <c r="R2" s="7" t="s">
        <v>101</v>
      </c>
      <c r="S2" s="7" t="s">
        <v>96</v>
      </c>
      <c r="T2" s="7" t="s">
        <v>102</v>
      </c>
      <c r="U2" s="16"/>
      <c r="V2" s="102" t="s">
        <v>185</v>
      </c>
      <c r="W2" s="62"/>
      <c r="X2" s="62" t="s">
        <v>183</v>
      </c>
      <c r="Y2" s="62"/>
      <c r="Z2" s="62"/>
      <c r="AA2" s="62" t="s">
        <v>187</v>
      </c>
      <c r="AB2" s="62"/>
      <c r="AC2" s="62"/>
      <c r="AD2" s="62" t="s">
        <v>183</v>
      </c>
      <c r="AE2" s="62"/>
      <c r="AF2" s="62"/>
      <c r="AG2" s="62" t="s">
        <v>187</v>
      </c>
      <c r="AH2" s="62"/>
      <c r="AI2" s="62"/>
      <c r="AJ2" s="101"/>
      <c r="AK2" s="64" t="s">
        <v>86</v>
      </c>
      <c r="AL2" s="37"/>
      <c r="AM2" s="37"/>
      <c r="AN2" s="37" t="s">
        <v>107</v>
      </c>
      <c r="AO2" s="37" t="s">
        <v>107</v>
      </c>
      <c r="AP2" s="37" t="s">
        <v>107</v>
      </c>
      <c r="AQ2" s="37" t="s">
        <v>116</v>
      </c>
      <c r="AR2" s="37" t="s">
        <v>116</v>
      </c>
      <c r="AS2" s="37" t="s">
        <v>106</v>
      </c>
      <c r="AT2" s="37" t="s">
        <v>106</v>
      </c>
      <c r="AU2" s="37" t="s">
        <v>106</v>
      </c>
      <c r="AV2" s="37" t="s">
        <v>112</v>
      </c>
      <c r="AW2" s="37" t="s">
        <v>112</v>
      </c>
      <c r="AX2" s="37" t="s">
        <v>109</v>
      </c>
      <c r="AY2" s="37" t="s">
        <v>109</v>
      </c>
      <c r="AZ2" s="37" t="s">
        <v>109</v>
      </c>
      <c r="BA2" s="37" t="s">
        <v>113</v>
      </c>
      <c r="BB2" s="37" t="s">
        <v>113</v>
      </c>
      <c r="BC2" s="58"/>
      <c r="BD2" s="7"/>
      <c r="BE2" s="7"/>
      <c r="BF2" s="7"/>
      <c r="BG2" s="7" t="s">
        <v>118</v>
      </c>
      <c r="BH2" s="7"/>
      <c r="BI2" s="7"/>
      <c r="BJ2" s="49" t="s">
        <v>119</v>
      </c>
      <c r="BK2" s="7"/>
      <c r="BL2" s="7"/>
      <c r="BM2" s="6" t="s">
        <v>120</v>
      </c>
      <c r="BN2" s="7"/>
      <c r="BO2" s="62"/>
      <c r="BP2" s="114"/>
      <c r="BQ2" s="7" t="s">
        <v>231</v>
      </c>
      <c r="BR2" s="7"/>
      <c r="BS2" s="7"/>
      <c r="BT2" s="7" t="s">
        <v>118</v>
      </c>
      <c r="BU2" s="7"/>
      <c r="BV2" s="7"/>
      <c r="BW2" s="49" t="s">
        <v>119</v>
      </c>
      <c r="BX2" s="7"/>
      <c r="BY2" s="7"/>
      <c r="BZ2" s="6" t="s">
        <v>120</v>
      </c>
      <c r="CA2" s="7"/>
      <c r="CB2" s="7"/>
      <c r="CC2" s="114"/>
      <c r="CD2" s="154" t="s">
        <v>290</v>
      </c>
      <c r="CE2" s="165"/>
      <c r="CF2" s="168" t="s">
        <v>282</v>
      </c>
      <c r="CG2" s="168"/>
      <c r="CH2" s="168"/>
      <c r="CI2" s="168"/>
      <c r="CJ2" s="168"/>
      <c r="CK2" s="170"/>
      <c r="CL2" s="168" t="s">
        <v>285</v>
      </c>
      <c r="CM2" s="168"/>
      <c r="CN2" s="168"/>
      <c r="CO2" s="168"/>
      <c r="CP2" s="168"/>
      <c r="CQ2" s="170"/>
      <c r="CR2" s="168" t="s">
        <v>287</v>
      </c>
      <c r="CS2" s="168"/>
      <c r="CT2" s="168"/>
      <c r="CU2" s="168"/>
      <c r="CV2" s="168"/>
      <c r="CW2" s="168"/>
      <c r="CX2" s="114"/>
      <c r="CY2" s="168" t="s">
        <v>306</v>
      </c>
      <c r="CZ2" s="168"/>
      <c r="DA2" s="168" t="s">
        <v>311</v>
      </c>
      <c r="DB2" s="168"/>
      <c r="DC2" s="168"/>
      <c r="DD2" s="168"/>
      <c r="DE2" s="168"/>
      <c r="DF2" s="168"/>
      <c r="DG2" s="168"/>
      <c r="DH2" s="168"/>
      <c r="DI2" s="170"/>
      <c r="DJ2" s="168" t="s">
        <v>312</v>
      </c>
      <c r="DK2" s="168"/>
      <c r="DL2" s="168"/>
      <c r="DM2" s="168"/>
      <c r="DN2" s="168"/>
      <c r="DO2" s="168"/>
      <c r="DP2" s="168"/>
      <c r="DQ2" s="168"/>
      <c r="DR2" s="168"/>
      <c r="DS2" s="122"/>
      <c r="DT2" s="60" t="s">
        <v>105</v>
      </c>
      <c r="DU2" s="8"/>
      <c r="DV2" s="8"/>
      <c r="DW2" s="57" t="s">
        <v>104</v>
      </c>
      <c r="DX2" s="8"/>
      <c r="DY2" s="40"/>
      <c r="DZ2" s="52" t="s">
        <v>108</v>
      </c>
      <c r="EA2" s="50"/>
      <c r="EB2" s="50"/>
      <c r="EC2" s="122"/>
      <c r="ED2" s="60" t="s">
        <v>293</v>
      </c>
      <c r="EE2" s="8"/>
      <c r="EF2" s="8"/>
      <c r="EG2" s="57" t="s">
        <v>104</v>
      </c>
      <c r="EH2" s="8"/>
      <c r="EI2" s="40"/>
      <c r="EJ2" s="52" t="s">
        <v>108</v>
      </c>
      <c r="EK2" s="50"/>
      <c r="EL2" s="195"/>
      <c r="EM2" s="60" t="s">
        <v>293</v>
      </c>
      <c r="EN2" s="8"/>
      <c r="EO2" s="8"/>
      <c r="EP2" s="57" t="s">
        <v>104</v>
      </c>
      <c r="EQ2" s="8"/>
      <c r="ER2" s="40"/>
      <c r="ES2" s="52" t="s">
        <v>108</v>
      </c>
      <c r="ET2" s="50"/>
      <c r="EU2" s="195"/>
    </row>
    <row r="3" spans="1:151" x14ac:dyDescent="0.2">
      <c r="A3" s="15" t="s">
        <v>0</v>
      </c>
      <c r="B3" s="15" t="s">
        <v>9</v>
      </c>
      <c r="C3" s="15" t="s">
        <v>2</v>
      </c>
      <c r="D3" s="15" t="s">
        <v>1</v>
      </c>
      <c r="E3" s="15" t="s">
        <v>3</v>
      </c>
      <c r="F3" s="15" t="s">
        <v>6</v>
      </c>
      <c r="G3" s="15" t="s">
        <v>5</v>
      </c>
      <c r="H3" s="22"/>
      <c r="I3" s="23"/>
      <c r="J3" s="100" t="s">
        <v>74</v>
      </c>
      <c r="K3" s="100" t="s">
        <v>127</v>
      </c>
      <c r="L3" s="100" t="s">
        <v>129</v>
      </c>
      <c r="M3" s="100" t="s">
        <v>131</v>
      </c>
      <c r="N3" s="100" t="s">
        <v>1</v>
      </c>
      <c r="O3" s="10" t="s">
        <v>98</v>
      </c>
      <c r="P3" s="10" t="s">
        <v>76</v>
      </c>
      <c r="Q3" s="10" t="s">
        <v>99</v>
      </c>
      <c r="R3" s="10" t="s">
        <v>100</v>
      </c>
      <c r="S3" s="10" t="s">
        <v>100</v>
      </c>
      <c r="T3" s="10" t="s">
        <v>100</v>
      </c>
      <c r="U3" s="17"/>
      <c r="V3" s="103" t="s">
        <v>182</v>
      </c>
      <c r="W3" s="103" t="s">
        <v>184</v>
      </c>
      <c r="X3" s="100" t="s">
        <v>101</v>
      </c>
      <c r="Y3" s="100" t="s">
        <v>96</v>
      </c>
      <c r="Z3" s="100" t="s">
        <v>102</v>
      </c>
      <c r="AA3" s="100" t="s">
        <v>101</v>
      </c>
      <c r="AB3" s="100" t="s">
        <v>96</v>
      </c>
      <c r="AC3" s="100" t="s">
        <v>102</v>
      </c>
      <c r="AD3" s="100" t="s">
        <v>101</v>
      </c>
      <c r="AE3" s="100" t="s">
        <v>96</v>
      </c>
      <c r="AF3" s="100" t="s">
        <v>102</v>
      </c>
      <c r="AG3" s="100" t="s">
        <v>101</v>
      </c>
      <c r="AH3" s="100" t="s">
        <v>96</v>
      </c>
      <c r="AI3" s="100" t="s">
        <v>102</v>
      </c>
      <c r="AJ3" s="17"/>
      <c r="AK3" s="10" t="s">
        <v>85</v>
      </c>
      <c r="AL3" s="10" t="s">
        <v>89</v>
      </c>
      <c r="AM3" s="10" t="s">
        <v>90</v>
      </c>
      <c r="AN3" s="10" t="s">
        <v>352</v>
      </c>
      <c r="AO3" s="10" t="s">
        <v>357</v>
      </c>
      <c r="AP3" s="10" t="s">
        <v>110</v>
      </c>
      <c r="AQ3" s="10" t="s">
        <v>91</v>
      </c>
      <c r="AR3" s="10" t="s">
        <v>92</v>
      </c>
      <c r="AS3" s="10" t="s">
        <v>354</v>
      </c>
      <c r="AT3" s="10" t="s">
        <v>355</v>
      </c>
      <c r="AU3" s="10" t="s">
        <v>111</v>
      </c>
      <c r="AV3" s="10" t="s">
        <v>91</v>
      </c>
      <c r="AW3" s="10" t="s">
        <v>92</v>
      </c>
      <c r="AX3" s="10" t="s">
        <v>354</v>
      </c>
      <c r="AY3" s="10" t="s">
        <v>356</v>
      </c>
      <c r="AZ3" s="10" t="s">
        <v>111</v>
      </c>
      <c r="BA3" s="10" t="s">
        <v>114</v>
      </c>
      <c r="BB3" s="10" t="s">
        <v>115</v>
      </c>
      <c r="BC3" s="58"/>
      <c r="BD3" s="9" t="s">
        <v>77</v>
      </c>
      <c r="BE3" s="9" t="s">
        <v>78</v>
      </c>
      <c r="BF3" s="9" t="s">
        <v>79</v>
      </c>
      <c r="BG3" s="45" t="s">
        <v>117</v>
      </c>
      <c r="BH3" s="10" t="s">
        <v>121</v>
      </c>
      <c r="BI3" s="10" t="s">
        <v>122</v>
      </c>
      <c r="BJ3" s="45" t="s">
        <v>117</v>
      </c>
      <c r="BK3" s="10" t="s">
        <v>121</v>
      </c>
      <c r="BL3" s="10" t="s">
        <v>122</v>
      </c>
      <c r="BM3" s="46" t="s">
        <v>117</v>
      </c>
      <c r="BN3" s="10" t="s">
        <v>121</v>
      </c>
      <c r="BO3" s="10" t="s">
        <v>122</v>
      </c>
      <c r="BP3" s="115"/>
      <c r="BQ3" s="9" t="s">
        <v>77</v>
      </c>
      <c r="BR3" s="9" t="s">
        <v>78</v>
      </c>
      <c r="BS3" s="9" t="s">
        <v>79</v>
      </c>
      <c r="BT3" s="45" t="s">
        <v>117</v>
      </c>
      <c r="BU3" s="10" t="s">
        <v>121</v>
      </c>
      <c r="BV3" s="10" t="s">
        <v>122</v>
      </c>
      <c r="BW3" s="45" t="s">
        <v>117</v>
      </c>
      <c r="BX3" s="10" t="s">
        <v>121</v>
      </c>
      <c r="BY3" s="10" t="s">
        <v>122</v>
      </c>
      <c r="BZ3" s="46" t="s">
        <v>117</v>
      </c>
      <c r="CA3" s="10" t="s">
        <v>121</v>
      </c>
      <c r="CB3" s="10" t="s">
        <v>122</v>
      </c>
      <c r="CC3" s="115"/>
      <c r="CD3" s="9" t="s">
        <v>277</v>
      </c>
      <c r="CE3" s="166" t="s">
        <v>278</v>
      </c>
      <c r="CF3" s="168" t="s">
        <v>117</v>
      </c>
      <c r="CG3" s="168" t="s">
        <v>117</v>
      </c>
      <c r="CH3" s="168" t="s">
        <v>121</v>
      </c>
      <c r="CI3" s="168" t="s">
        <v>121</v>
      </c>
      <c r="CJ3" s="168" t="s">
        <v>122</v>
      </c>
      <c r="CK3" s="170" t="s">
        <v>122</v>
      </c>
      <c r="CL3" s="168" t="s">
        <v>117</v>
      </c>
      <c r="CM3" s="168" t="s">
        <v>117</v>
      </c>
      <c r="CN3" s="168" t="s">
        <v>121</v>
      </c>
      <c r="CO3" s="168" t="s">
        <v>121</v>
      </c>
      <c r="CP3" s="168" t="s">
        <v>122</v>
      </c>
      <c r="CQ3" s="170" t="s">
        <v>122</v>
      </c>
      <c r="CR3" s="168" t="s">
        <v>117</v>
      </c>
      <c r="CS3" s="168" t="s">
        <v>117</v>
      </c>
      <c r="CT3" s="168" t="s">
        <v>121</v>
      </c>
      <c r="CU3" s="168" t="s">
        <v>121</v>
      </c>
      <c r="CV3" s="168" t="s">
        <v>122</v>
      </c>
      <c r="CW3" s="168" t="s">
        <v>122</v>
      </c>
      <c r="CX3" s="115"/>
      <c r="CY3" s="9" t="s">
        <v>307</v>
      </c>
      <c r="CZ3" s="9" t="s">
        <v>308</v>
      </c>
      <c r="DA3" s="168" t="s">
        <v>105</v>
      </c>
      <c r="DB3" s="168"/>
      <c r="DC3" s="168"/>
      <c r="DD3" s="168" t="s">
        <v>104</v>
      </c>
      <c r="DE3" s="168"/>
      <c r="DF3" s="168"/>
      <c r="DG3" s="168" t="s">
        <v>108</v>
      </c>
      <c r="DH3" s="168"/>
      <c r="DI3" s="170"/>
      <c r="DJ3" s="168" t="s">
        <v>105</v>
      </c>
      <c r="DK3" s="168"/>
      <c r="DL3" s="168"/>
      <c r="DM3" s="168" t="s">
        <v>104</v>
      </c>
      <c r="DN3" s="168"/>
      <c r="DO3" s="168"/>
      <c r="DP3" s="168" t="s">
        <v>108</v>
      </c>
      <c r="DQ3" s="168"/>
      <c r="DR3" s="170"/>
      <c r="DS3" s="123"/>
      <c r="DT3" s="10" t="s">
        <v>80</v>
      </c>
      <c r="DU3" s="10" t="s">
        <v>81</v>
      </c>
      <c r="DV3" s="41" t="s">
        <v>82</v>
      </c>
      <c r="DW3" s="46" t="s">
        <v>80</v>
      </c>
      <c r="DX3" s="10" t="s">
        <v>81</v>
      </c>
      <c r="DY3" s="41" t="s">
        <v>82</v>
      </c>
      <c r="DZ3" s="46" t="s">
        <v>80</v>
      </c>
      <c r="EA3" s="10" t="s">
        <v>81</v>
      </c>
      <c r="EB3" s="41" t="s">
        <v>82</v>
      </c>
      <c r="EC3" s="123"/>
      <c r="ED3" s="10" t="s">
        <v>316</v>
      </c>
      <c r="EE3" s="10"/>
      <c r="EF3" s="41"/>
      <c r="EG3" s="46" t="s">
        <v>315</v>
      </c>
      <c r="EH3" s="10"/>
      <c r="EI3" s="41"/>
      <c r="EJ3" s="46" t="s">
        <v>315</v>
      </c>
      <c r="EK3" s="10"/>
      <c r="EL3" s="196"/>
      <c r="EM3" s="10" t="s">
        <v>317</v>
      </c>
      <c r="EN3" s="10"/>
      <c r="EO3" s="41"/>
      <c r="EP3" s="46" t="s">
        <v>314</v>
      </c>
      <c r="EQ3" s="10"/>
      <c r="ER3" s="41"/>
      <c r="ES3" s="46" t="s">
        <v>314</v>
      </c>
      <c r="ET3" s="10"/>
      <c r="EU3" s="196"/>
    </row>
    <row r="4" spans="1:151" ht="19" x14ac:dyDescent="0.25">
      <c r="A4" s="24" t="s">
        <v>75</v>
      </c>
      <c r="B4" s="25"/>
      <c r="C4" s="25"/>
      <c r="D4" s="25"/>
      <c r="E4" s="25"/>
      <c r="F4" s="25"/>
      <c r="G4" s="25"/>
      <c r="H4" s="22"/>
      <c r="I4" s="23"/>
      <c r="J4" s="100"/>
      <c r="K4" s="100" t="s">
        <v>128</v>
      </c>
      <c r="L4" s="100" t="s">
        <v>130</v>
      </c>
      <c r="M4" s="100" t="s">
        <v>130</v>
      </c>
      <c r="N4" s="100"/>
      <c r="O4" s="10"/>
      <c r="P4" s="10"/>
      <c r="Q4" s="10"/>
      <c r="R4" s="10"/>
      <c r="S4" s="10"/>
      <c r="T4" s="10"/>
      <c r="U4" s="17"/>
      <c r="V4" s="103" t="s">
        <v>186</v>
      </c>
      <c r="W4" s="103"/>
      <c r="X4" s="100"/>
      <c r="Y4" s="100"/>
      <c r="Z4" s="100"/>
      <c r="AA4" s="100"/>
      <c r="AB4" s="100"/>
      <c r="AC4" s="100"/>
      <c r="AD4" s="100"/>
      <c r="AE4" s="100"/>
      <c r="AF4" s="100"/>
      <c r="AG4" s="100"/>
      <c r="AH4" s="100"/>
      <c r="AI4" s="100"/>
      <c r="AJ4" s="17"/>
      <c r="AK4" s="10"/>
      <c r="AL4" s="10" t="s">
        <v>88</v>
      </c>
      <c r="AM4" s="10"/>
      <c r="AN4" s="10"/>
      <c r="AO4" s="10"/>
      <c r="AP4" s="10"/>
      <c r="AQ4" s="10"/>
      <c r="AR4" s="10"/>
      <c r="AS4" s="10"/>
      <c r="AT4" s="10"/>
      <c r="AU4" s="10"/>
      <c r="AV4" s="10"/>
      <c r="AW4" s="10"/>
      <c r="AX4" s="10"/>
      <c r="AY4" s="10"/>
      <c r="AZ4" s="10"/>
      <c r="BA4" s="10"/>
      <c r="BB4" s="10"/>
      <c r="BC4" s="17"/>
      <c r="BD4" s="9"/>
      <c r="BE4" s="9"/>
      <c r="BF4" s="9"/>
      <c r="BG4" s="46"/>
      <c r="BH4" s="10"/>
      <c r="BI4" s="10"/>
      <c r="BJ4" s="46"/>
      <c r="BK4" s="10"/>
      <c r="BL4" s="10"/>
      <c r="BM4" s="46"/>
      <c r="BN4" s="10"/>
      <c r="BO4" s="10"/>
      <c r="BP4" s="116"/>
      <c r="BQ4" s="124">
        <v>0.88480000000000003</v>
      </c>
      <c r="BR4" s="124">
        <v>0.94579999999999997</v>
      </c>
      <c r="BS4" s="124">
        <v>0.97699999999999998</v>
      </c>
      <c r="BT4" s="46"/>
      <c r="BU4" s="10"/>
      <c r="BV4" s="10"/>
      <c r="BW4" s="46"/>
      <c r="BX4" s="10"/>
      <c r="BY4" s="10"/>
      <c r="BZ4" s="46"/>
      <c r="CA4" s="10"/>
      <c r="CB4" s="10"/>
      <c r="CC4" s="116"/>
      <c r="CD4" s="124">
        <v>0.68</v>
      </c>
      <c r="CE4" s="167">
        <v>0.32</v>
      </c>
      <c r="CF4" s="168" t="s">
        <v>281</v>
      </c>
      <c r="CG4" s="168" t="s">
        <v>283</v>
      </c>
      <c r="CH4" s="168" t="s">
        <v>281</v>
      </c>
      <c r="CI4" s="168" t="s">
        <v>283</v>
      </c>
      <c r="CJ4" s="168" t="s">
        <v>281</v>
      </c>
      <c r="CK4" s="170" t="s">
        <v>283</v>
      </c>
      <c r="CL4" s="168" t="s">
        <v>281</v>
      </c>
      <c r="CM4" s="168" t="s">
        <v>283</v>
      </c>
      <c r="CN4" s="168" t="s">
        <v>281</v>
      </c>
      <c r="CO4" s="168" t="s">
        <v>283</v>
      </c>
      <c r="CP4" s="168" t="s">
        <v>281</v>
      </c>
      <c r="CQ4" s="170" t="s">
        <v>283</v>
      </c>
      <c r="CR4" s="168" t="s">
        <v>281</v>
      </c>
      <c r="CS4" s="168" t="s">
        <v>283</v>
      </c>
      <c r="CT4" s="168" t="s">
        <v>281</v>
      </c>
      <c r="CU4" s="168" t="s">
        <v>283</v>
      </c>
      <c r="CV4" s="168" t="s">
        <v>281</v>
      </c>
      <c r="CW4" s="168" t="s">
        <v>283</v>
      </c>
      <c r="CX4" s="116"/>
      <c r="CY4" s="124" t="s">
        <v>297</v>
      </c>
      <c r="CZ4" s="124" t="s">
        <v>310</v>
      </c>
      <c r="DA4" s="168" t="s">
        <v>117</v>
      </c>
      <c r="DB4" s="168" t="s">
        <v>121</v>
      </c>
      <c r="DC4" s="168" t="s">
        <v>122</v>
      </c>
      <c r="DD4" s="168" t="s">
        <v>117</v>
      </c>
      <c r="DE4" s="168" t="s">
        <v>121</v>
      </c>
      <c r="DF4" s="168" t="s">
        <v>122</v>
      </c>
      <c r="DG4" s="168" t="s">
        <v>117</v>
      </c>
      <c r="DH4" s="168" t="s">
        <v>121</v>
      </c>
      <c r="DI4" s="170" t="s">
        <v>122</v>
      </c>
      <c r="DJ4" s="168" t="s">
        <v>117</v>
      </c>
      <c r="DK4" s="168" t="s">
        <v>121</v>
      </c>
      <c r="DL4" s="168" t="s">
        <v>122</v>
      </c>
      <c r="DM4" s="168" t="s">
        <v>117</v>
      </c>
      <c r="DN4" s="168" t="s">
        <v>121</v>
      </c>
      <c r="DO4" s="168" t="s">
        <v>122</v>
      </c>
      <c r="DP4" s="168" t="s">
        <v>117</v>
      </c>
      <c r="DQ4" s="168" t="s">
        <v>121</v>
      </c>
      <c r="DR4" s="170" t="s">
        <v>122</v>
      </c>
      <c r="DS4" s="123"/>
      <c r="DT4" s="10"/>
      <c r="DU4" s="10"/>
      <c r="DV4" s="10"/>
      <c r="DW4" s="46"/>
      <c r="DX4" s="10"/>
      <c r="DY4" s="41"/>
      <c r="DZ4" s="53"/>
      <c r="EA4" s="41"/>
      <c r="EB4" s="41"/>
      <c r="EC4" s="123"/>
      <c r="ED4" s="10" t="s">
        <v>80</v>
      </c>
      <c r="EE4" s="10" t="s">
        <v>81</v>
      </c>
      <c r="EF4" s="41" t="s">
        <v>82</v>
      </c>
      <c r="EG4" s="46" t="s">
        <v>80</v>
      </c>
      <c r="EH4" s="10" t="s">
        <v>81</v>
      </c>
      <c r="EI4" s="41" t="s">
        <v>82</v>
      </c>
      <c r="EJ4" s="46" t="s">
        <v>80</v>
      </c>
      <c r="EK4" s="10" t="s">
        <v>81</v>
      </c>
      <c r="EL4" s="196" t="s">
        <v>82</v>
      </c>
      <c r="EM4" s="10" t="s">
        <v>80</v>
      </c>
      <c r="EN4" s="10" t="s">
        <v>81</v>
      </c>
      <c r="EO4" s="41" t="s">
        <v>82</v>
      </c>
      <c r="EP4" s="46" t="s">
        <v>80</v>
      </c>
      <c r="EQ4" s="10" t="s">
        <v>81</v>
      </c>
      <c r="ER4" s="41" t="s">
        <v>82</v>
      </c>
      <c r="ES4" s="46" t="s">
        <v>80</v>
      </c>
      <c r="ET4" s="10" t="s">
        <v>81</v>
      </c>
      <c r="EU4" s="196" t="s">
        <v>82</v>
      </c>
    </row>
    <row r="5" spans="1:151" x14ac:dyDescent="0.2">
      <c r="A5" s="3" t="s">
        <v>4</v>
      </c>
      <c r="B5">
        <v>1168</v>
      </c>
      <c r="C5">
        <v>23</v>
      </c>
      <c r="D5">
        <v>1.67</v>
      </c>
      <c r="E5">
        <v>0.13</v>
      </c>
      <c r="F5" t="s">
        <v>7</v>
      </c>
      <c r="G5" t="s">
        <v>124</v>
      </c>
      <c r="H5" s="20"/>
      <c r="I5" s="21"/>
      <c r="J5">
        <v>152</v>
      </c>
      <c r="K5">
        <v>0.04</v>
      </c>
      <c r="L5">
        <v>0.11</v>
      </c>
      <c r="M5">
        <v>0.19</v>
      </c>
      <c r="N5">
        <v>1.67</v>
      </c>
      <c r="O5" s="27">
        <f>$J5*$K5*$N5</f>
        <v>10.153599999999999</v>
      </c>
      <c r="P5" s="27">
        <f>J5*L5*N5</f>
        <v>27.922399999999996</v>
      </c>
      <c r="Q5" s="27">
        <f>$J5*$M5*$N5</f>
        <v>48.229599999999998</v>
      </c>
      <c r="R5" s="27">
        <f>$O5+$O6+$O7+$O8+$O9+$O10+$O11+$O12+$O13+$O14+$O15+$O16+$O17+$O18+$O19+$O20+$O21+$O22</f>
        <v>202.05119999999997</v>
      </c>
      <c r="S5" s="27">
        <f>P5+P6+P7+P8+P9+P10+P11+P12+P13+P14+P15+P16+P17+P18+P19+P20+P21+P22</f>
        <v>555.6407999999999</v>
      </c>
      <c r="T5" s="27">
        <f>$Q5+$Q6+$Q7+$Q8+$Q9+$Q10+$Q11+$Q12+$Q13+$Q14+$Q15+$Q16+$Q17+$Q18+$Q19+$Q20+$Q21+$Q22</f>
        <v>959.74320000000012</v>
      </c>
      <c r="U5" s="18"/>
      <c r="V5">
        <v>2.3999999999999998E-3</v>
      </c>
      <c r="W5">
        <v>0.99760000000000004</v>
      </c>
      <c r="X5" s="94">
        <f xml:space="preserve"> O5 * V5</f>
        <v>2.4368639999999997E-2</v>
      </c>
      <c r="Y5" s="94">
        <f xml:space="preserve"> P5 * V5</f>
        <v>6.7013759999999992E-2</v>
      </c>
      <c r="Z5" s="94">
        <f xml:space="preserve"> Q5 * V5</f>
        <v>0.11575103999999999</v>
      </c>
      <c r="AA5" s="94">
        <f xml:space="preserve"> O5 * W5</f>
        <v>10.12923136</v>
      </c>
      <c r="AB5" s="94">
        <f xml:space="preserve"> P5 * W5</f>
        <v>27.855386239999998</v>
      </c>
      <c r="AC5" s="94">
        <f xml:space="preserve"> Q5 * W5</f>
        <v>48.113848959999999</v>
      </c>
      <c r="AD5" s="27">
        <f xml:space="preserve"> R5 * V5</f>
        <v>0.48492287999999989</v>
      </c>
      <c r="AE5" s="27">
        <f xml:space="preserve"> S5 * V5</f>
        <v>1.3335379199999997</v>
      </c>
      <c r="AF5" s="27">
        <f xml:space="preserve"> T5 * V5</f>
        <v>2.30338368</v>
      </c>
      <c r="AG5" s="27">
        <f xml:space="preserve"> R5 * W5</f>
        <v>201.56627711999997</v>
      </c>
      <c r="AH5" s="27">
        <f xml:space="preserve"> S5 * W5</f>
        <v>554.30726207999987</v>
      </c>
      <c r="AI5" s="27">
        <f xml:space="preserve"> T5 * W5</f>
        <v>957.4398163200002</v>
      </c>
      <c r="AJ5" s="18"/>
      <c r="AK5">
        <v>160</v>
      </c>
      <c r="AL5" s="34">
        <f>$AK5/8760</f>
        <v>1.8264840182648401E-2</v>
      </c>
      <c r="AM5" s="34">
        <f t="shared" ref="AM5:AM22" si="0">1- AL5</f>
        <v>0.9817351598173516</v>
      </c>
      <c r="AN5" s="94">
        <f xml:space="preserve"> AA5*AL5</f>
        <v>0.18500879196347031</v>
      </c>
      <c r="AO5" s="94">
        <f xml:space="preserve"> AN5 / 2</f>
        <v>9.2504395981735155E-2</v>
      </c>
      <c r="AP5" s="94">
        <f>$AA5*$AM5 + AO5</f>
        <v>10.036726964018264</v>
      </c>
      <c r="AQ5" s="27">
        <f>SUM(AO5:AO22)</f>
        <v>1.0561024982283105</v>
      </c>
      <c r="AR5" s="27">
        <f xml:space="preserve"> SUM(AP5:AP22)</f>
        <v>200.51017462177171</v>
      </c>
      <c r="AS5" s="94">
        <f>$AL5*$AB5</f>
        <v>0.50877417789954327</v>
      </c>
      <c r="AT5" s="94">
        <f xml:space="preserve"> AS5 / 2</f>
        <v>0.25438708894977163</v>
      </c>
      <c r="AU5" s="27">
        <f>$AM5*$AB5 + AT5</f>
        <v>27.600999151050228</v>
      </c>
      <c r="AV5" s="27">
        <f xml:space="preserve"> SUM(AT5:AT22)</f>
        <v>2.9042818701278543</v>
      </c>
      <c r="AW5" s="27">
        <f>$AU5+$AU6+$AU7+$AU8+$AU9+$AU10+$AU11+$AU12+$AU13+$AU14+$AU15+$AU16+$AU17+$AU18+$AU19+$AU20+$AU21+$AU22</f>
        <v>551.40298020987234</v>
      </c>
      <c r="AX5" s="94">
        <f>$AL5*$AC5</f>
        <v>0.878791761826484</v>
      </c>
      <c r="AY5" s="94">
        <f xml:space="preserve"> AX5 / 2</f>
        <v>0.439395880913242</v>
      </c>
      <c r="AZ5" s="27">
        <f>$AM5*$AC5 + AY5</f>
        <v>47.674453079086753</v>
      </c>
      <c r="BA5" s="27">
        <f>SUM(AY5:AY22)</f>
        <v>5.0164868665844748</v>
      </c>
      <c r="BB5" s="27">
        <f>$AZ5+$AZ6+$AZ7+$AZ8+$AZ9+$AZ10+$AZ11+$AZ12+$AZ13+$AZ14+$AZ15+$AZ16+$AZ17+$AZ18+$AZ19+$AZ20+$AZ21+$AZ22</f>
        <v>952.42332945341559</v>
      </c>
      <c r="BC5" s="18"/>
      <c r="BD5" s="34">
        <v>0.1152</v>
      </c>
      <c r="BE5" s="34">
        <v>5.4199999999999998E-2</v>
      </c>
      <c r="BF5">
        <v>2.3E-2</v>
      </c>
      <c r="BG5" s="47">
        <f>$AR5*$BD5</f>
        <v>23.098772116428101</v>
      </c>
      <c r="BH5" s="27">
        <f>$AR5*$BE5</f>
        <v>10.867651464500026</v>
      </c>
      <c r="BI5" s="27">
        <f>$AR5*$BF5</f>
        <v>4.6117340163007494</v>
      </c>
      <c r="BJ5" s="47">
        <f>$AW5*$BD5</f>
        <v>63.521623320177291</v>
      </c>
      <c r="BK5" s="27">
        <f>$AW5*$BE5</f>
        <v>29.886041527375081</v>
      </c>
      <c r="BL5" s="27">
        <f>$AW5*$BF5</f>
        <v>12.682268544827064</v>
      </c>
      <c r="BM5" s="47">
        <f>$BB5*$BD5</f>
        <v>109.71916755303347</v>
      </c>
      <c r="BN5" s="27">
        <f>$BB5*$BE5</f>
        <v>51.621344456375127</v>
      </c>
      <c r="BO5" s="27">
        <f>$BB5*$BF5</f>
        <v>21.905736577428559</v>
      </c>
      <c r="BP5" s="117"/>
      <c r="BQ5" s="34">
        <f xml:space="preserve"> 1 - BD5</f>
        <v>0.88480000000000003</v>
      </c>
      <c r="BR5" s="34">
        <f xml:space="preserve"> 1 - BE5</f>
        <v>0.94579999999999997</v>
      </c>
      <c r="BS5">
        <f xml:space="preserve"> 1 - BF5</f>
        <v>0.97699999999999998</v>
      </c>
      <c r="BT5" s="47">
        <f xml:space="preserve"> AR5 * BQ5</f>
        <v>177.4114025053436</v>
      </c>
      <c r="BU5" s="27">
        <f xml:space="preserve"> AR5 * BR5</f>
        <v>189.64252315727168</v>
      </c>
      <c r="BV5" s="27">
        <f xml:space="preserve"> AR5 * BS5</f>
        <v>195.89844060547097</v>
      </c>
      <c r="BW5" s="47">
        <f xml:space="preserve"> AW5 * BQ5</f>
        <v>487.88135688969504</v>
      </c>
      <c r="BX5" s="27">
        <f xml:space="preserve"> AW5 * BR5</f>
        <v>521.5169386824972</v>
      </c>
      <c r="BY5" s="27">
        <f xml:space="preserve"> AW5 * BS5</f>
        <v>538.72071166504531</v>
      </c>
      <c r="BZ5" s="47">
        <f xml:space="preserve"> BB5 * BQ5</f>
        <v>842.70416190038213</v>
      </c>
      <c r="CA5" s="27">
        <f xml:space="preserve"> BB5 * BR5</f>
        <v>900.80198499704045</v>
      </c>
      <c r="CB5" s="27">
        <f xml:space="preserve"> BB5 * BS5</f>
        <v>930.51759287598702</v>
      </c>
      <c r="CC5" s="117"/>
      <c r="CD5">
        <f xml:space="preserve"> 1 - 0.32</f>
        <v>0.67999999999999994</v>
      </c>
      <c r="CE5">
        <f>1-0.68</f>
        <v>0.31999999999999995</v>
      </c>
      <c r="CF5" s="27">
        <f xml:space="preserve"> BT5 * CD5</f>
        <v>120.63975370363364</v>
      </c>
      <c r="CG5" s="27">
        <f xml:space="preserve"> BT5 * CE5</f>
        <v>56.771648801709944</v>
      </c>
      <c r="CH5" s="27">
        <f xml:space="preserve"> BU5 * CD5</f>
        <v>128.95691574694473</v>
      </c>
      <c r="CI5" s="27">
        <f xml:space="preserve"> BU5 * CE5</f>
        <v>60.685607410326931</v>
      </c>
      <c r="CJ5" s="27">
        <f xml:space="preserve"> BV5 * CD5</f>
        <v>133.21093961172025</v>
      </c>
      <c r="CK5" s="27">
        <f xml:space="preserve"> BV5 * CE5</f>
        <v>62.687500993750703</v>
      </c>
      <c r="CL5" s="27">
        <f xml:space="preserve"> BW5 * CD5</f>
        <v>331.75932268499258</v>
      </c>
      <c r="CM5" s="27">
        <f xml:space="preserve"> BW5 * CE5</f>
        <v>156.1220342047024</v>
      </c>
      <c r="CN5" s="27">
        <f xml:space="preserve"> BX5 * CD5</f>
        <v>354.63151830409805</v>
      </c>
      <c r="CO5" s="27">
        <f xml:space="preserve"> BX5 * CE5</f>
        <v>166.88542037839909</v>
      </c>
      <c r="CP5" s="27">
        <f xml:space="preserve"> BY5 * CD5</f>
        <v>366.33008393223076</v>
      </c>
      <c r="CQ5" s="27">
        <f xml:space="preserve"> BY5 * CE5</f>
        <v>172.39062773281447</v>
      </c>
      <c r="CR5" s="27">
        <f xml:space="preserve"> BZ5 * CD5</f>
        <v>573.03883009225979</v>
      </c>
      <c r="CS5" s="27">
        <f xml:space="preserve"> BZ5 * CE5</f>
        <v>269.66533180812223</v>
      </c>
      <c r="CT5" s="27">
        <f xml:space="preserve"> CA5 * CD5</f>
        <v>612.54534979798746</v>
      </c>
      <c r="CU5" s="27">
        <f xml:space="preserve"> CA5 * CE5</f>
        <v>288.25663519905288</v>
      </c>
      <c r="CV5" s="27">
        <f xml:space="preserve"> CB5 * CD5</f>
        <v>632.75196315567109</v>
      </c>
      <c r="CW5" s="27">
        <f xml:space="preserve"> CB5 * CE5</f>
        <v>297.76562972031581</v>
      </c>
      <c r="CX5" s="117"/>
      <c r="CY5">
        <f xml:space="preserve"> 1 - 0.01</f>
        <v>0.99</v>
      </c>
      <c r="CZ5">
        <v>0.75</v>
      </c>
      <c r="DA5" s="27">
        <f xml:space="preserve"> CF5 * CY5</f>
        <v>119.43335616659731</v>
      </c>
      <c r="DB5" s="27">
        <f xml:space="preserve"> CH5 * CY5</f>
        <v>127.66734658947529</v>
      </c>
      <c r="DC5" s="27">
        <f xml:space="preserve"> CJ5 * CY5</f>
        <v>131.87883021560305</v>
      </c>
      <c r="DD5" s="27">
        <f xml:space="preserve"> CL5 * CY5</f>
        <v>328.44172945814267</v>
      </c>
      <c r="DE5" s="27">
        <f xml:space="preserve"> CN5 * CY5</f>
        <v>351.08520312105708</v>
      </c>
      <c r="DF5" s="27">
        <f xml:space="preserve"> CP5 * CY5</f>
        <v>362.66678309290847</v>
      </c>
      <c r="DG5" s="27">
        <f xml:space="preserve"> CR5 * CY5</f>
        <v>567.30844179133715</v>
      </c>
      <c r="DH5" s="27">
        <f xml:space="preserve"> CT5 * CY5</f>
        <v>606.41989630000762</v>
      </c>
      <c r="DI5" s="27">
        <f xml:space="preserve"> CV5 * CY5</f>
        <v>626.42444352411439</v>
      </c>
      <c r="DJ5" s="27">
        <f xml:space="preserve"> CF5 * CZ5</f>
        <v>90.479815277725237</v>
      </c>
      <c r="DK5" s="27">
        <f xml:space="preserve"> CH5 * CZ5</f>
        <v>96.717686810208548</v>
      </c>
      <c r="DL5" s="27">
        <f xml:space="preserve"> CJ5 * CZ5</f>
        <v>99.90820470879018</v>
      </c>
      <c r="DM5" s="27">
        <f xml:space="preserve"> CL5 * CZ5</f>
        <v>248.81949201374442</v>
      </c>
      <c r="DN5" s="27">
        <f xml:space="preserve"> CN5 * CZ5</f>
        <v>265.97363872807352</v>
      </c>
      <c r="DO5" s="27">
        <f xml:space="preserve"> CP5 * CZ5</f>
        <v>274.74756294917307</v>
      </c>
      <c r="DP5" s="27">
        <f xml:space="preserve"> CR5 * CZ5</f>
        <v>429.77912256919484</v>
      </c>
      <c r="DQ5" s="27">
        <f xml:space="preserve"> CT5 * CZ5</f>
        <v>459.40901234849059</v>
      </c>
      <c r="DR5" s="27">
        <f xml:space="preserve"> CV5 * CZ5</f>
        <v>474.56397236675332</v>
      </c>
      <c r="DS5" s="121"/>
      <c r="DT5" s="27">
        <f>$BG5+$AQ5 + AD5</f>
        <v>24.63979749465641</v>
      </c>
      <c r="DU5" s="27">
        <f>$BH5+$AQ5 +AD5</f>
        <v>12.408676842728337</v>
      </c>
      <c r="DV5" s="27">
        <f>$BI5+$AQ5 +AD5</f>
        <v>6.1527593945290597</v>
      </c>
      <c r="DW5" s="47">
        <f>$BJ5+$AV5 + AE5</f>
        <v>67.759443110305142</v>
      </c>
      <c r="DX5" s="27">
        <f>$BK5+$AV5 + AE5</f>
        <v>34.123861317502936</v>
      </c>
      <c r="DY5" s="42">
        <f>$BL5+$AV5 +AE5</f>
        <v>16.920088334954919</v>
      </c>
      <c r="DZ5" s="54">
        <f>$BA5+$BM5 +AF5</f>
        <v>117.03903809961794</v>
      </c>
      <c r="EA5" s="42">
        <f>$BA5+$BN5 +AF5</f>
        <v>58.941215002959602</v>
      </c>
      <c r="EB5" s="42">
        <f>$BA5+$BO5 +AF5</f>
        <v>29.225607124013035</v>
      </c>
      <c r="EC5" s="121"/>
      <c r="ED5" s="27">
        <f xml:space="preserve"> DJ5 + DT5</f>
        <v>115.11961277238164</v>
      </c>
      <c r="EE5" s="27">
        <f xml:space="preserve"> DK5 + DU5</f>
        <v>109.12636365293689</v>
      </c>
      <c r="EF5" s="27">
        <f>DL5 + DV5</f>
        <v>106.06096410331924</v>
      </c>
      <c r="EG5" s="47">
        <f t="shared" ref="EG5:EL5" si="1" xml:space="preserve"> DM5 + DW5</f>
        <v>316.57893512404956</v>
      </c>
      <c r="EH5" s="27">
        <f t="shared" si="1"/>
        <v>300.09750004557645</v>
      </c>
      <c r="EI5" s="42">
        <f t="shared" si="1"/>
        <v>291.667651284128</v>
      </c>
      <c r="EJ5" s="54">
        <f t="shared" si="1"/>
        <v>546.81816066881277</v>
      </c>
      <c r="EK5" s="42">
        <f t="shared" si="1"/>
        <v>518.35022735145014</v>
      </c>
      <c r="EL5" s="197">
        <f t="shared" si="1"/>
        <v>503.78957949076636</v>
      </c>
      <c r="EM5" s="27">
        <f xml:space="preserve"> DT5 + DA5</f>
        <v>144.07315366125371</v>
      </c>
      <c r="EN5" s="27">
        <f xml:space="preserve"> DB5 + DU5</f>
        <v>140.07602343220361</v>
      </c>
      <c r="EO5" s="27">
        <f xml:space="preserve"> DV5 + DC5</f>
        <v>138.0315896101321</v>
      </c>
      <c r="EP5" s="47">
        <f xml:space="preserve"> DD5 + DW5</f>
        <v>396.20117256844782</v>
      </c>
      <c r="EQ5" s="27">
        <f xml:space="preserve"> DE5 + DX5</f>
        <v>385.20906443856001</v>
      </c>
      <c r="ER5" s="42">
        <f xml:space="preserve"> DF5 + DY5</f>
        <v>379.5868714278634</v>
      </c>
      <c r="ES5" s="54">
        <f xml:space="preserve"> DG5 + DZ5</f>
        <v>684.34747989095513</v>
      </c>
      <c r="ET5" s="42">
        <f xml:space="preserve"> DH5 +EA5</f>
        <v>665.36111130296717</v>
      </c>
      <c r="EU5" s="197">
        <f xml:space="preserve"> DI5 + EB5</f>
        <v>655.65005064812738</v>
      </c>
    </row>
    <row r="6" spans="1:151" x14ac:dyDescent="0.2">
      <c r="A6" s="3" t="s">
        <v>8</v>
      </c>
      <c r="B6">
        <v>1128</v>
      </c>
      <c r="C6">
        <v>41</v>
      </c>
      <c r="D6">
        <v>2.71</v>
      </c>
      <c r="E6">
        <v>0.65</v>
      </c>
      <c r="F6" t="s">
        <v>13</v>
      </c>
      <c r="G6" t="s">
        <v>11</v>
      </c>
      <c r="H6" s="20"/>
      <c r="I6" s="21"/>
      <c r="J6">
        <v>798</v>
      </c>
      <c r="K6">
        <v>0.04</v>
      </c>
      <c r="L6">
        <v>0.11</v>
      </c>
      <c r="M6">
        <v>0.19</v>
      </c>
      <c r="N6">
        <v>0.65</v>
      </c>
      <c r="O6" s="27">
        <f t="shared" ref="O6:O22" si="2">$J6*$K6*$N6</f>
        <v>20.748000000000001</v>
      </c>
      <c r="P6" s="27">
        <f>J6*L6*N6</f>
        <v>57.057000000000002</v>
      </c>
      <c r="Q6" s="27">
        <f t="shared" ref="Q6:Q22" si="3">$J6*$M6*$N6</f>
        <v>98.553000000000011</v>
      </c>
      <c r="R6" s="27"/>
      <c r="S6" s="27"/>
      <c r="T6" s="27"/>
      <c r="U6" s="18"/>
      <c r="V6">
        <v>2.3999999999999998E-3</v>
      </c>
      <c r="W6">
        <v>0.99760000000000004</v>
      </c>
      <c r="X6" s="94">
        <f t="shared" ref="X6:X22" si="4" xml:space="preserve"> O6 * V6</f>
        <v>4.9795199999999998E-2</v>
      </c>
      <c r="Y6" s="94">
        <f t="shared" ref="Y6:Y22" si="5" xml:space="preserve"> P6 * V6</f>
        <v>0.1369368</v>
      </c>
      <c r="Z6" s="94">
        <f t="shared" ref="Z6:Z22" si="6" xml:space="preserve"> Q6 * V6</f>
        <v>0.23652719999999999</v>
      </c>
      <c r="AA6" s="94">
        <f t="shared" ref="AA6:AA22" si="7" xml:space="preserve"> O6 * W6</f>
        <v>20.698204800000003</v>
      </c>
      <c r="AB6" s="94">
        <f t="shared" ref="AB6:AB22" si="8" xml:space="preserve"> P6 * W6</f>
        <v>56.920063200000001</v>
      </c>
      <c r="AC6" s="94">
        <f t="shared" ref="AC6:AC22" si="9" xml:space="preserve"> Q6 * W6</f>
        <v>98.316472800000014</v>
      </c>
      <c r="AJ6" s="18"/>
      <c r="AK6">
        <v>0</v>
      </c>
      <c r="AL6" s="34">
        <f t="shared" ref="AL6:AL21" si="10">$AK6/8760</f>
        <v>0</v>
      </c>
      <c r="AM6" s="34">
        <f t="shared" si="0"/>
        <v>1</v>
      </c>
      <c r="AN6" s="94">
        <f t="shared" ref="AN6:AN22" si="11" xml:space="preserve"> AA6*AL6</f>
        <v>0</v>
      </c>
      <c r="AO6" s="94">
        <f t="shared" ref="AO6:AO22" si="12" xml:space="preserve"> AN6 / 2</f>
        <v>0</v>
      </c>
      <c r="AP6" s="94">
        <f t="shared" ref="AP6:AP22" si="13">$AA6*$AM6 + AO6</f>
        <v>20.698204800000003</v>
      </c>
      <c r="AQ6" s="27"/>
      <c r="AR6" s="27"/>
      <c r="AS6" s="94">
        <f t="shared" ref="AS6:AS22" si="14">$AL6*$AB6</f>
        <v>0</v>
      </c>
      <c r="AT6" s="94">
        <f t="shared" ref="AT6:AT22" si="15" xml:space="preserve"> AS6 / 2</f>
        <v>0</v>
      </c>
      <c r="AU6" s="27">
        <f t="shared" ref="AU6:AU22" si="16">$AM6*$AB6 + AT6</f>
        <v>56.920063200000001</v>
      </c>
      <c r="AV6" s="27"/>
      <c r="AW6" s="27"/>
      <c r="AX6" s="94">
        <f t="shared" ref="AX6:AX22" si="17">$AL6*$AC6</f>
        <v>0</v>
      </c>
      <c r="AY6" s="94">
        <f t="shared" ref="AY6:AY22" si="18" xml:space="preserve"> AX6 / 2</f>
        <v>0</v>
      </c>
      <c r="AZ6" s="27">
        <f t="shared" ref="AZ6:AZ22" si="19">$AM6*$AC6 + AY6</f>
        <v>98.316472800000014</v>
      </c>
      <c r="BA6" s="27"/>
      <c r="BB6" s="27"/>
      <c r="BC6" s="18"/>
      <c r="BG6" s="3"/>
      <c r="BJ6" s="3"/>
      <c r="BM6" s="3"/>
      <c r="BP6" s="117"/>
      <c r="BS6" s="107"/>
      <c r="BV6" s="107"/>
      <c r="BY6" s="107"/>
      <c r="CC6" s="117"/>
      <c r="CF6" s="27"/>
      <c r="CG6" s="27"/>
      <c r="CH6" s="27"/>
      <c r="CI6" s="27"/>
      <c r="CJ6" s="27"/>
      <c r="CK6" s="27"/>
      <c r="CL6" s="27"/>
      <c r="CM6" s="27"/>
      <c r="CN6" s="27"/>
      <c r="CO6" s="27"/>
      <c r="CP6" s="27"/>
      <c r="CQ6" s="27"/>
      <c r="CR6" s="27"/>
      <c r="CS6" s="27"/>
      <c r="CT6" s="27"/>
      <c r="CU6" s="27"/>
      <c r="CV6" s="27"/>
      <c r="CW6" s="27"/>
      <c r="CX6" s="117"/>
      <c r="DA6" s="27"/>
      <c r="DB6" s="27"/>
      <c r="DC6" s="27"/>
      <c r="DD6" s="27"/>
      <c r="DE6" s="27"/>
      <c r="DF6" s="27"/>
      <c r="DG6" s="27"/>
      <c r="DH6" s="27"/>
      <c r="DI6" s="27"/>
      <c r="DJ6" s="27"/>
      <c r="DK6" s="27"/>
      <c r="DL6" s="27"/>
      <c r="DM6" s="27"/>
      <c r="DN6" s="27"/>
      <c r="DO6" s="27"/>
      <c r="DP6" s="27"/>
      <c r="DQ6" s="27"/>
      <c r="DR6" s="27"/>
      <c r="DS6" s="121"/>
      <c r="DW6" s="3"/>
      <c r="DY6" s="38"/>
      <c r="DZ6" s="55"/>
      <c r="EA6" s="38"/>
      <c r="EB6" s="38"/>
      <c r="EC6" s="121"/>
      <c r="EG6" s="3"/>
      <c r="EI6" s="38"/>
      <c r="EJ6" s="55"/>
      <c r="EK6" s="38"/>
      <c r="EL6" s="198"/>
      <c r="EP6" s="3"/>
      <c r="ER6" s="38"/>
      <c r="ES6" s="55"/>
      <c r="ET6" s="38"/>
      <c r="EU6" s="198"/>
    </row>
    <row r="7" spans="1:151" x14ac:dyDescent="0.2">
      <c r="A7" s="3" t="s">
        <v>10</v>
      </c>
      <c r="B7">
        <v>1869</v>
      </c>
      <c r="C7">
        <v>704</v>
      </c>
      <c r="D7">
        <v>2.25</v>
      </c>
      <c r="F7" t="s">
        <v>14</v>
      </c>
      <c r="G7" t="s">
        <v>125</v>
      </c>
      <c r="H7" s="20"/>
      <c r="I7" s="21"/>
      <c r="J7">
        <v>704</v>
      </c>
      <c r="K7">
        <v>0.04</v>
      </c>
      <c r="L7">
        <v>0.11</v>
      </c>
      <c r="M7">
        <v>0.19</v>
      </c>
      <c r="N7">
        <v>2.25</v>
      </c>
      <c r="O7" s="27">
        <f t="shared" si="2"/>
        <v>63.36</v>
      </c>
      <c r="P7" s="27">
        <f t="shared" ref="P7:P22" si="20">J7*L7*N7</f>
        <v>174.24</v>
      </c>
      <c r="Q7" s="27">
        <f t="shared" si="3"/>
        <v>300.95999999999998</v>
      </c>
      <c r="R7" s="27"/>
      <c r="S7" s="27"/>
      <c r="T7" s="27"/>
      <c r="U7" s="18"/>
      <c r="V7">
        <v>2.3999999999999998E-3</v>
      </c>
      <c r="W7">
        <v>0.99760000000000004</v>
      </c>
      <c r="X7" s="94">
        <f t="shared" si="4"/>
        <v>0.15206399999999998</v>
      </c>
      <c r="Y7" s="94">
        <f t="shared" si="5"/>
        <v>0.41817599999999999</v>
      </c>
      <c r="Z7" s="94">
        <f t="shared" si="6"/>
        <v>0.72230399999999984</v>
      </c>
      <c r="AA7" s="94">
        <f t="shared" si="7"/>
        <v>63.207936000000004</v>
      </c>
      <c r="AB7" s="94">
        <f t="shared" si="8"/>
        <v>173.82182400000002</v>
      </c>
      <c r="AC7" s="94">
        <f t="shared" si="9"/>
        <v>300.23769599999997</v>
      </c>
      <c r="AJ7" s="18"/>
      <c r="AK7">
        <v>4</v>
      </c>
      <c r="AL7" s="34">
        <f t="shared" si="10"/>
        <v>4.5662100456621003E-4</v>
      </c>
      <c r="AM7" s="34">
        <f t="shared" si="0"/>
        <v>0.99954337899543377</v>
      </c>
      <c r="AN7" s="94">
        <f t="shared" si="11"/>
        <v>2.8862071232876714E-2</v>
      </c>
      <c r="AO7" s="94">
        <f t="shared" si="12"/>
        <v>1.4431035616438357E-2</v>
      </c>
      <c r="AP7" s="94">
        <f t="shared" si="13"/>
        <v>63.193504964383564</v>
      </c>
      <c r="AQ7" s="27"/>
      <c r="AR7" s="27"/>
      <c r="AS7" s="94">
        <f t="shared" si="14"/>
        <v>7.9370695890410972E-2</v>
      </c>
      <c r="AT7" s="94">
        <f t="shared" si="15"/>
        <v>3.9685347945205486E-2</v>
      </c>
      <c r="AU7" s="27">
        <f t="shared" si="16"/>
        <v>173.78213865205481</v>
      </c>
      <c r="AV7" s="27"/>
      <c r="AW7" s="27"/>
      <c r="AX7" s="94">
        <f t="shared" si="17"/>
        <v>0.13709483835616437</v>
      </c>
      <c r="AY7" s="94">
        <f t="shared" si="18"/>
        <v>6.8547419178082186E-2</v>
      </c>
      <c r="AZ7" s="27">
        <f t="shared" si="19"/>
        <v>300.16914858082185</v>
      </c>
      <c r="BA7" s="27"/>
      <c r="BB7" s="27"/>
      <c r="BC7" s="18"/>
      <c r="BG7" s="3"/>
      <c r="BJ7" s="3"/>
      <c r="BM7" s="3"/>
      <c r="BP7" s="117"/>
      <c r="BS7" s="107"/>
      <c r="BV7" s="107"/>
      <c r="BY7" s="107"/>
      <c r="CC7" s="117"/>
      <c r="CF7" s="27"/>
      <c r="CG7" s="27"/>
      <c r="CH7" s="27"/>
      <c r="CI7" s="27"/>
      <c r="CJ7" s="27"/>
      <c r="CK7" s="27"/>
      <c r="CL7" s="27"/>
      <c r="CM7" s="27"/>
      <c r="CN7" s="27"/>
      <c r="CO7" s="27"/>
      <c r="CP7" s="27"/>
      <c r="CQ7" s="27"/>
      <c r="CR7" s="27"/>
      <c r="CS7" s="27"/>
      <c r="CT7" s="27"/>
      <c r="CU7" s="27"/>
      <c r="CV7" s="27"/>
      <c r="CW7" s="27"/>
      <c r="CX7" s="117"/>
      <c r="DA7" s="27"/>
      <c r="DB7" s="27"/>
      <c r="DC7" s="27"/>
      <c r="DD7" s="27"/>
      <c r="DE7" s="27"/>
      <c r="DF7" s="27"/>
      <c r="DG7" s="27"/>
      <c r="DH7" s="27"/>
      <c r="DI7" s="27"/>
      <c r="DJ7" s="27"/>
      <c r="DK7" s="27"/>
      <c r="DL7" s="27"/>
      <c r="DM7" s="27"/>
      <c r="DN7" s="27"/>
      <c r="DO7" s="27"/>
      <c r="DP7" s="27"/>
      <c r="DQ7" s="27"/>
      <c r="DR7" s="27"/>
      <c r="DS7" s="121"/>
      <c r="DW7" s="3"/>
      <c r="DY7" s="38"/>
      <c r="DZ7" s="55"/>
      <c r="EA7" s="38"/>
      <c r="EB7" s="38"/>
      <c r="EC7" s="121"/>
      <c r="EG7" s="3"/>
      <c r="EI7" s="38"/>
      <c r="EJ7" s="55"/>
      <c r="EK7" s="38"/>
      <c r="EL7" s="198"/>
      <c r="EP7" s="3"/>
      <c r="ER7" s="38"/>
      <c r="ES7" s="55"/>
      <c r="ET7" s="38"/>
      <c r="EU7" s="198"/>
    </row>
    <row r="8" spans="1:151" x14ac:dyDescent="0.2">
      <c r="A8" s="3" t="s">
        <v>12</v>
      </c>
      <c r="B8">
        <v>1239</v>
      </c>
      <c r="C8">
        <v>1221</v>
      </c>
      <c r="D8">
        <v>0.17</v>
      </c>
      <c r="F8" t="s">
        <v>15</v>
      </c>
      <c r="G8" t="s">
        <v>126</v>
      </c>
      <c r="H8" s="20"/>
      <c r="I8" s="21"/>
      <c r="J8">
        <v>211</v>
      </c>
      <c r="K8">
        <v>0.04</v>
      </c>
      <c r="L8">
        <v>0.11</v>
      </c>
      <c r="M8">
        <v>0.19</v>
      </c>
      <c r="N8">
        <v>0.17</v>
      </c>
      <c r="O8" s="27">
        <f t="shared" si="2"/>
        <v>1.4348000000000001</v>
      </c>
      <c r="P8" s="27">
        <f t="shared" si="20"/>
        <v>3.9457000000000004</v>
      </c>
      <c r="Q8" s="27">
        <f t="shared" si="3"/>
        <v>6.8153000000000015</v>
      </c>
      <c r="R8" s="27"/>
      <c r="S8" s="27"/>
      <c r="T8" s="27"/>
      <c r="U8" s="18"/>
      <c r="V8">
        <v>2.3999999999999998E-3</v>
      </c>
      <c r="W8">
        <v>0.99760000000000004</v>
      </c>
      <c r="X8" s="94">
        <f t="shared" si="4"/>
        <v>3.4435199999999998E-3</v>
      </c>
      <c r="Y8" s="94">
        <f t="shared" si="5"/>
        <v>9.4696799999999994E-3</v>
      </c>
      <c r="Z8" s="94">
        <f t="shared" si="6"/>
        <v>1.6356720000000002E-2</v>
      </c>
      <c r="AA8" s="94">
        <f t="shared" si="7"/>
        <v>1.43135648</v>
      </c>
      <c r="AB8" s="94">
        <f t="shared" si="8"/>
        <v>3.9362303200000004</v>
      </c>
      <c r="AC8" s="94">
        <f t="shared" si="9"/>
        <v>6.7989432800000014</v>
      </c>
      <c r="AJ8" s="18"/>
      <c r="AK8">
        <v>266</v>
      </c>
      <c r="AL8" s="34">
        <f t="shared" si="10"/>
        <v>3.0365296803652967E-2</v>
      </c>
      <c r="AM8" s="34">
        <f t="shared" si="0"/>
        <v>0.96963470319634704</v>
      </c>
      <c r="AN8" s="94">
        <f t="shared" si="11"/>
        <v>4.3463564347031962E-2</v>
      </c>
      <c r="AO8" s="94">
        <f t="shared" si="12"/>
        <v>2.1731782173515981E-2</v>
      </c>
      <c r="AP8" s="94">
        <f t="shared" si="13"/>
        <v>1.4096246978264839</v>
      </c>
      <c r="AQ8" s="27"/>
      <c r="AR8" s="27"/>
      <c r="AS8" s="94">
        <f t="shared" si="14"/>
        <v>0.11952480195433791</v>
      </c>
      <c r="AT8" s="94">
        <f t="shared" si="15"/>
        <v>5.9762400977168957E-2</v>
      </c>
      <c r="AU8" s="27">
        <f t="shared" si="16"/>
        <v>3.8764679190228315</v>
      </c>
      <c r="AV8" s="27"/>
      <c r="AW8" s="27"/>
      <c r="AX8" s="94">
        <f t="shared" si="17"/>
        <v>0.20645193064840187</v>
      </c>
      <c r="AY8" s="94">
        <f t="shared" si="18"/>
        <v>0.10322596532420093</v>
      </c>
      <c r="AZ8" s="27">
        <f t="shared" si="19"/>
        <v>6.6957173146758011</v>
      </c>
      <c r="BA8" s="27"/>
      <c r="BB8" s="27"/>
      <c r="BC8" s="18"/>
      <c r="BG8" s="3"/>
      <c r="BJ8" s="3"/>
      <c r="BM8" s="3"/>
      <c r="BP8" s="117"/>
      <c r="BS8" s="107"/>
      <c r="BV8" s="107"/>
      <c r="BY8" s="107"/>
      <c r="CC8" s="117"/>
      <c r="CF8" s="27"/>
      <c r="CG8" s="27"/>
      <c r="CH8" s="27"/>
      <c r="CI8" s="27"/>
      <c r="CJ8" s="27"/>
      <c r="CK8" s="27"/>
      <c r="CL8" s="27"/>
      <c r="CM8" s="27"/>
      <c r="CN8" s="27"/>
      <c r="CO8" s="27"/>
      <c r="CP8" s="27"/>
      <c r="CQ8" s="27"/>
      <c r="CR8" s="27"/>
      <c r="CS8" s="27"/>
      <c r="CT8" s="27"/>
      <c r="CU8" s="27"/>
      <c r="CV8" s="27"/>
      <c r="CW8" s="27"/>
      <c r="CX8" s="117"/>
      <c r="DA8" s="27"/>
      <c r="DB8" s="27"/>
      <c r="DC8" s="27"/>
      <c r="DD8" s="27"/>
      <c r="DE8" s="27"/>
      <c r="DF8" s="27"/>
      <c r="DG8" s="27"/>
      <c r="DH8" s="27"/>
      <c r="DI8" s="27"/>
      <c r="DJ8" s="27"/>
      <c r="DK8" s="27"/>
      <c r="DL8" s="27"/>
      <c r="DM8" s="27"/>
      <c r="DN8" s="27"/>
      <c r="DO8" s="27"/>
      <c r="DP8" s="27"/>
      <c r="DQ8" s="27"/>
      <c r="DR8" s="27"/>
      <c r="DS8" s="121"/>
      <c r="DW8" s="3"/>
      <c r="DY8" s="38"/>
      <c r="DZ8" s="55"/>
      <c r="EA8" s="38"/>
      <c r="EB8" s="38"/>
      <c r="EC8" s="121"/>
      <c r="EG8" s="3"/>
      <c r="EI8" s="38"/>
      <c r="EJ8" s="55"/>
      <c r="EK8" s="38"/>
      <c r="EL8" s="198"/>
      <c r="EP8" s="3"/>
      <c r="ER8" s="38"/>
      <c r="ES8" s="55"/>
      <c r="ET8" s="38"/>
      <c r="EU8" s="198"/>
    </row>
    <row r="9" spans="1:151" x14ac:dyDescent="0.2">
      <c r="A9" s="3" t="s">
        <v>17</v>
      </c>
      <c r="B9">
        <v>1700.5</v>
      </c>
      <c r="C9">
        <v>744</v>
      </c>
      <c r="D9">
        <v>0.74</v>
      </c>
      <c r="F9" t="s">
        <v>18</v>
      </c>
      <c r="G9" t="s">
        <v>126</v>
      </c>
      <c r="H9" s="20"/>
      <c r="I9" s="21"/>
      <c r="J9">
        <v>1258</v>
      </c>
      <c r="K9">
        <v>0.04</v>
      </c>
      <c r="L9">
        <v>0.11</v>
      </c>
      <c r="M9">
        <v>0.19</v>
      </c>
      <c r="N9">
        <v>0.74</v>
      </c>
      <c r="O9" s="27">
        <f t="shared" si="2"/>
        <v>37.236800000000002</v>
      </c>
      <c r="P9" s="27">
        <f t="shared" si="20"/>
        <v>102.40119999999999</v>
      </c>
      <c r="Q9" s="27">
        <f t="shared" si="3"/>
        <v>176.87479999999999</v>
      </c>
      <c r="R9" s="27"/>
      <c r="S9" s="27"/>
      <c r="T9" s="27"/>
      <c r="U9" s="18"/>
      <c r="V9">
        <v>2.3999999999999998E-3</v>
      </c>
      <c r="W9">
        <v>0.99760000000000004</v>
      </c>
      <c r="X9" s="94">
        <f t="shared" si="4"/>
        <v>8.9368320000000001E-2</v>
      </c>
      <c r="Y9" s="94">
        <f t="shared" si="5"/>
        <v>0.24576287999999996</v>
      </c>
      <c r="Z9" s="94">
        <f t="shared" si="6"/>
        <v>0.42449951999999996</v>
      </c>
      <c r="AA9" s="94">
        <f t="shared" si="7"/>
        <v>37.147431680000004</v>
      </c>
      <c r="AB9" s="94">
        <f t="shared" si="8"/>
        <v>102.15543711999999</v>
      </c>
      <c r="AC9" s="94">
        <f t="shared" si="9"/>
        <v>176.45030048000001</v>
      </c>
      <c r="AJ9" s="18"/>
      <c r="AK9">
        <v>80</v>
      </c>
      <c r="AL9" s="34">
        <f t="shared" si="10"/>
        <v>9.1324200913242004E-3</v>
      </c>
      <c r="AM9" s="34">
        <f t="shared" si="0"/>
        <v>0.9908675799086758</v>
      </c>
      <c r="AN9" s="94">
        <f t="shared" si="11"/>
        <v>0.3392459514155251</v>
      </c>
      <c r="AO9" s="94">
        <f t="shared" si="12"/>
        <v>0.16962297570776255</v>
      </c>
      <c r="AP9" s="94">
        <f t="shared" si="13"/>
        <v>36.977808704292237</v>
      </c>
      <c r="AQ9" s="27"/>
      <c r="AR9" s="27"/>
      <c r="AS9" s="94">
        <f t="shared" si="14"/>
        <v>0.93292636639269388</v>
      </c>
      <c r="AT9" s="94">
        <f t="shared" si="15"/>
        <v>0.46646318319634694</v>
      </c>
      <c r="AU9" s="27">
        <f t="shared" si="16"/>
        <v>101.68897393680365</v>
      </c>
      <c r="AV9" s="27"/>
      <c r="AW9" s="27"/>
      <c r="AX9" s="94">
        <f t="shared" si="17"/>
        <v>1.6114182692237442</v>
      </c>
      <c r="AY9" s="94">
        <f t="shared" si="18"/>
        <v>0.8057091346118721</v>
      </c>
      <c r="AZ9" s="27">
        <f t="shared" si="19"/>
        <v>175.64459134538814</v>
      </c>
      <c r="BA9" s="27"/>
      <c r="BB9" s="27"/>
      <c r="BC9" s="18"/>
      <c r="BG9" s="3"/>
      <c r="BJ9" s="3"/>
      <c r="BM9" s="3"/>
      <c r="BP9" s="117"/>
      <c r="BS9" s="107"/>
      <c r="BV9" s="107"/>
      <c r="BY9" s="107"/>
      <c r="CC9" s="117"/>
      <c r="CF9" s="27"/>
      <c r="CG9" s="27"/>
      <c r="CH9" s="27"/>
      <c r="CI9" s="27"/>
      <c r="CJ9" s="27"/>
      <c r="CK9" s="27"/>
      <c r="CL9" s="27"/>
      <c r="CM9" s="27"/>
      <c r="CN9" s="27"/>
      <c r="CO9" s="27"/>
      <c r="CP9" s="27"/>
      <c r="CQ9" s="27"/>
      <c r="CR9" s="27"/>
      <c r="CS9" s="27"/>
      <c r="CT9" s="27"/>
      <c r="CU9" s="27"/>
      <c r="CV9" s="27"/>
      <c r="CW9" s="27"/>
      <c r="CX9" s="117"/>
      <c r="DA9" s="27"/>
      <c r="DB9" s="27"/>
      <c r="DC9" s="27"/>
      <c r="DD9" s="27"/>
      <c r="DE9" s="27"/>
      <c r="DF9" s="27"/>
      <c r="DG9" s="27"/>
      <c r="DH9" s="27"/>
      <c r="DI9" s="27"/>
      <c r="DJ9" s="27"/>
      <c r="DK9" s="27"/>
      <c r="DL9" s="27"/>
      <c r="DM9" s="27"/>
      <c r="DN9" s="27"/>
      <c r="DO9" s="27"/>
      <c r="DP9" s="27"/>
      <c r="DQ9" s="27"/>
      <c r="DR9" s="27"/>
      <c r="DS9" s="121"/>
      <c r="DW9" s="3"/>
      <c r="DY9" s="38"/>
      <c r="DZ9" s="55"/>
      <c r="EA9" s="38"/>
      <c r="EB9" s="38"/>
      <c r="EC9" s="121"/>
      <c r="EG9" s="3"/>
      <c r="EI9" s="38"/>
      <c r="EJ9" s="55"/>
      <c r="EK9" s="38"/>
      <c r="EL9" s="198"/>
      <c r="EP9" s="3"/>
      <c r="ER9" s="38"/>
      <c r="ES9" s="55"/>
      <c r="ET9" s="38"/>
      <c r="EU9" s="198"/>
    </row>
    <row r="10" spans="1:151" x14ac:dyDescent="0.2">
      <c r="A10" s="3" t="s">
        <v>19</v>
      </c>
      <c r="B10">
        <v>1688</v>
      </c>
      <c r="C10">
        <v>152.5</v>
      </c>
      <c r="D10">
        <v>1.29</v>
      </c>
      <c r="E10">
        <v>0.35299999999999998</v>
      </c>
      <c r="F10" t="s">
        <v>25</v>
      </c>
      <c r="G10" t="s">
        <v>124</v>
      </c>
      <c r="H10" s="20"/>
      <c r="I10" s="21"/>
      <c r="J10">
        <v>596</v>
      </c>
      <c r="K10">
        <v>0.04</v>
      </c>
      <c r="L10">
        <v>0.11</v>
      </c>
      <c r="M10">
        <v>0.19</v>
      </c>
      <c r="N10">
        <v>0.35</v>
      </c>
      <c r="O10" s="27">
        <f t="shared" si="2"/>
        <v>8.3439999999999994</v>
      </c>
      <c r="P10" s="27">
        <f t="shared" si="20"/>
        <v>22.945999999999998</v>
      </c>
      <c r="Q10" s="27">
        <f t="shared" si="3"/>
        <v>39.633999999999993</v>
      </c>
      <c r="R10" s="27"/>
      <c r="S10" s="27"/>
      <c r="T10" s="27"/>
      <c r="U10" s="18"/>
      <c r="V10">
        <v>2.3999999999999998E-3</v>
      </c>
      <c r="W10">
        <v>0.99760000000000004</v>
      </c>
      <c r="X10" s="94">
        <f t="shared" si="4"/>
        <v>2.0025599999999998E-2</v>
      </c>
      <c r="Y10" s="94">
        <f t="shared" si="5"/>
        <v>5.5070399999999992E-2</v>
      </c>
      <c r="Z10" s="94">
        <f t="shared" si="6"/>
        <v>9.5121599999999973E-2</v>
      </c>
      <c r="AA10" s="94">
        <f t="shared" si="7"/>
        <v>8.3239743999999991</v>
      </c>
      <c r="AB10" s="94">
        <f t="shared" si="8"/>
        <v>22.8909296</v>
      </c>
      <c r="AC10" s="94">
        <f t="shared" si="9"/>
        <v>39.538878399999994</v>
      </c>
      <c r="AJ10" s="18"/>
      <c r="AK10">
        <v>332</v>
      </c>
      <c r="AL10" s="34">
        <f t="shared" si="10"/>
        <v>3.7899543378995433E-2</v>
      </c>
      <c r="AM10" s="34">
        <f t="shared" si="0"/>
        <v>0.96210045662100452</v>
      </c>
      <c r="AN10" s="94">
        <f t="shared" si="11"/>
        <v>0.31547482885844746</v>
      </c>
      <c r="AO10" s="94">
        <f t="shared" si="12"/>
        <v>0.15773741442922373</v>
      </c>
      <c r="AP10" s="94">
        <f t="shared" si="13"/>
        <v>8.1662369855707748</v>
      </c>
      <c r="AQ10" s="27"/>
      <c r="AR10" s="27"/>
      <c r="AS10" s="94">
        <f t="shared" si="14"/>
        <v>0.86755577936073058</v>
      </c>
      <c r="AT10" s="94">
        <f t="shared" si="15"/>
        <v>0.43377788968036529</v>
      </c>
      <c r="AU10" s="27">
        <f t="shared" si="16"/>
        <v>22.457151710319632</v>
      </c>
      <c r="AV10" s="27"/>
      <c r="AW10" s="27"/>
      <c r="AX10" s="94">
        <f t="shared" si="17"/>
        <v>1.4985054370776254</v>
      </c>
      <c r="AY10" s="94">
        <f t="shared" si="18"/>
        <v>0.7492527185388127</v>
      </c>
      <c r="AZ10" s="27">
        <f t="shared" si="19"/>
        <v>38.789625681461182</v>
      </c>
      <c r="BA10" s="27"/>
      <c r="BB10" s="27"/>
      <c r="BC10" s="18"/>
      <c r="BG10" s="3"/>
      <c r="BJ10" s="3"/>
      <c r="BM10" s="3"/>
      <c r="BP10" s="117"/>
      <c r="BS10" s="107"/>
      <c r="BV10" s="107"/>
      <c r="BY10" s="107"/>
      <c r="CC10" s="117"/>
      <c r="CF10" s="27"/>
      <c r="CG10" s="27"/>
      <c r="CH10" s="27"/>
      <c r="CI10" s="27"/>
      <c r="CJ10" s="27"/>
      <c r="CK10" s="27"/>
      <c r="CL10" s="27"/>
      <c r="CM10" s="27"/>
      <c r="CN10" s="27"/>
      <c r="CO10" s="27"/>
      <c r="CP10" s="27"/>
      <c r="CQ10" s="27"/>
      <c r="CR10" s="27"/>
      <c r="CS10" s="27"/>
      <c r="CT10" s="27"/>
      <c r="CU10" s="27"/>
      <c r="CV10" s="27"/>
      <c r="CW10" s="27"/>
      <c r="CX10" s="117"/>
      <c r="DA10" s="27"/>
      <c r="DB10" s="27"/>
      <c r="DC10" s="27"/>
      <c r="DD10" s="27"/>
      <c r="DE10" s="27"/>
      <c r="DF10" s="27"/>
      <c r="DG10" s="27"/>
      <c r="DH10" s="27" t="s">
        <v>270</v>
      </c>
      <c r="DI10" s="27"/>
      <c r="DJ10" s="27"/>
      <c r="DK10" s="27"/>
      <c r="DL10" s="27"/>
      <c r="DM10" s="27"/>
      <c r="DN10" s="27"/>
      <c r="DO10" s="27"/>
      <c r="DP10" s="27"/>
      <c r="DQ10" s="27"/>
      <c r="DR10" s="27"/>
      <c r="DS10" s="121"/>
      <c r="DW10" s="3"/>
      <c r="DY10" s="38"/>
      <c r="DZ10" s="55"/>
      <c r="EA10" s="38"/>
      <c r="EB10" s="38"/>
      <c r="EC10" s="121"/>
      <c r="EG10" s="3"/>
      <c r="EI10" s="38"/>
      <c r="EJ10" s="55"/>
      <c r="EK10" s="38"/>
      <c r="EL10" s="198"/>
      <c r="EP10" s="3"/>
      <c r="ER10" s="38"/>
      <c r="ES10" s="55"/>
      <c r="ET10" s="38"/>
      <c r="EU10" s="198"/>
    </row>
    <row r="11" spans="1:151" x14ac:dyDescent="0.2">
      <c r="A11" s="3" t="s">
        <v>20</v>
      </c>
      <c r="B11">
        <v>2122</v>
      </c>
      <c r="C11">
        <v>15</v>
      </c>
      <c r="D11">
        <v>0.24</v>
      </c>
      <c r="E11">
        <v>0.317</v>
      </c>
      <c r="F11" t="s">
        <v>26</v>
      </c>
      <c r="G11" t="s">
        <v>124</v>
      </c>
      <c r="H11" s="20"/>
      <c r="I11" s="21"/>
      <c r="J11">
        <v>673</v>
      </c>
      <c r="K11">
        <v>0.04</v>
      </c>
      <c r="L11">
        <v>0.11</v>
      </c>
      <c r="M11">
        <v>0.19</v>
      </c>
      <c r="N11">
        <v>0.32</v>
      </c>
      <c r="O11" s="27">
        <f t="shared" si="2"/>
        <v>8.6144000000000016</v>
      </c>
      <c r="P11" s="27">
        <f t="shared" si="20"/>
        <v>23.689600000000002</v>
      </c>
      <c r="Q11" s="27">
        <f t="shared" si="3"/>
        <v>40.918400000000005</v>
      </c>
      <c r="R11" s="27"/>
      <c r="S11" s="27"/>
      <c r="T11" s="27"/>
      <c r="U11" s="18"/>
      <c r="V11">
        <v>2.3999999999999998E-3</v>
      </c>
      <c r="W11">
        <v>0.99760000000000004</v>
      </c>
      <c r="X11" s="94">
        <f t="shared" si="4"/>
        <v>2.0674560000000002E-2</v>
      </c>
      <c r="Y11" s="94">
        <f t="shared" si="5"/>
        <v>5.6855040000000003E-2</v>
      </c>
      <c r="Z11" s="94">
        <f t="shared" si="6"/>
        <v>9.8204159999999999E-2</v>
      </c>
      <c r="AA11" s="94">
        <f t="shared" si="7"/>
        <v>8.5937254400000018</v>
      </c>
      <c r="AB11" s="94">
        <f t="shared" si="8"/>
        <v>23.632744960000004</v>
      </c>
      <c r="AC11" s="94">
        <f t="shared" si="9"/>
        <v>40.820195840000004</v>
      </c>
      <c r="AJ11" s="18"/>
      <c r="AK11">
        <v>0</v>
      </c>
      <c r="AL11" s="34">
        <f t="shared" si="10"/>
        <v>0</v>
      </c>
      <c r="AM11" s="34">
        <f t="shared" si="0"/>
        <v>1</v>
      </c>
      <c r="AN11" s="94">
        <f t="shared" si="11"/>
        <v>0</v>
      </c>
      <c r="AO11" s="94">
        <f t="shared" si="12"/>
        <v>0</v>
      </c>
      <c r="AP11" s="94">
        <f t="shared" si="13"/>
        <v>8.5937254400000018</v>
      </c>
      <c r="AQ11" s="27"/>
      <c r="AR11" s="27"/>
      <c r="AS11" s="94">
        <f t="shared" si="14"/>
        <v>0</v>
      </c>
      <c r="AT11" s="94">
        <f t="shared" si="15"/>
        <v>0</v>
      </c>
      <c r="AU11" s="27">
        <f t="shared" si="16"/>
        <v>23.632744960000004</v>
      </c>
      <c r="AV11" s="27"/>
      <c r="AW11" s="27"/>
      <c r="AX11" s="94">
        <f t="shared" si="17"/>
        <v>0</v>
      </c>
      <c r="AY11" s="94">
        <f t="shared" si="18"/>
        <v>0</v>
      </c>
      <c r="AZ11" s="27">
        <f t="shared" si="19"/>
        <v>40.820195840000004</v>
      </c>
      <c r="BA11" s="27"/>
      <c r="BB11" s="27"/>
      <c r="BC11" s="18"/>
      <c r="BG11" s="3"/>
      <c r="BJ11" s="3"/>
      <c r="BM11" s="3"/>
      <c r="BP11" s="117"/>
      <c r="BS11" s="107"/>
      <c r="BV11" s="107"/>
      <c r="BY11" s="107"/>
      <c r="CC11" s="117"/>
      <c r="CF11" s="27"/>
      <c r="CG11" s="27"/>
      <c r="CH11" s="27"/>
      <c r="CI11" s="27"/>
      <c r="CJ11" s="27"/>
      <c r="CK11" s="27"/>
      <c r="CL11" s="27"/>
      <c r="CM11" s="27"/>
      <c r="CN11" s="27"/>
      <c r="CO11" s="27"/>
      <c r="CP11" s="27"/>
      <c r="CQ11" s="27"/>
      <c r="CR11" s="27"/>
      <c r="CS11" s="27"/>
      <c r="CT11" s="27"/>
      <c r="CU11" s="27"/>
      <c r="CV11" s="27"/>
      <c r="CW11" s="27"/>
      <c r="CX11" s="117"/>
      <c r="DA11" s="27"/>
      <c r="DB11" s="27"/>
      <c r="DC11" s="27"/>
      <c r="DD11" s="27"/>
      <c r="DE11" s="27"/>
      <c r="DF11" s="27"/>
      <c r="DG11" s="27"/>
      <c r="DH11" s="27"/>
      <c r="DI11" s="27"/>
      <c r="DJ11" s="27"/>
      <c r="DK11" s="27"/>
      <c r="DL11" s="27"/>
      <c r="DM11" s="27"/>
      <c r="DN11" s="27"/>
      <c r="DO11" s="27"/>
      <c r="DP11" s="27"/>
      <c r="DQ11" s="27"/>
      <c r="DR11" s="27"/>
      <c r="DS11" s="121"/>
      <c r="DW11" s="3"/>
      <c r="DY11" s="38"/>
      <c r="DZ11" s="55"/>
      <c r="EA11" s="38"/>
      <c r="EB11" s="38"/>
      <c r="EC11" s="121"/>
      <c r="EG11" s="3"/>
      <c r="EI11" s="38"/>
      <c r="EJ11" s="55"/>
      <c r="EK11" s="38"/>
      <c r="EL11" s="198"/>
      <c r="EP11" s="3"/>
      <c r="ER11" s="38"/>
      <c r="ES11" s="55"/>
      <c r="ET11" s="38"/>
      <c r="EU11" s="198"/>
    </row>
    <row r="12" spans="1:151" x14ac:dyDescent="0.2">
      <c r="A12" s="3" t="s">
        <v>21</v>
      </c>
      <c r="B12">
        <v>2122</v>
      </c>
      <c r="C12">
        <v>15</v>
      </c>
      <c r="D12">
        <v>1.36</v>
      </c>
      <c r="E12">
        <v>0.19</v>
      </c>
      <c r="F12" t="s">
        <v>27</v>
      </c>
      <c r="G12" t="s">
        <v>124</v>
      </c>
      <c r="H12" s="20"/>
      <c r="I12" s="21"/>
      <c r="J12">
        <v>403</v>
      </c>
      <c r="K12">
        <v>0.04</v>
      </c>
      <c r="L12">
        <v>0.11</v>
      </c>
      <c r="M12">
        <v>0.19</v>
      </c>
      <c r="N12">
        <v>0.19</v>
      </c>
      <c r="O12" s="27">
        <f t="shared" si="2"/>
        <v>3.0628000000000002</v>
      </c>
      <c r="P12" s="27">
        <f t="shared" si="20"/>
        <v>8.422699999999999</v>
      </c>
      <c r="Q12" s="27">
        <f t="shared" si="3"/>
        <v>14.548300000000001</v>
      </c>
      <c r="R12" s="27"/>
      <c r="S12" s="27"/>
      <c r="T12" s="27"/>
      <c r="U12" s="18"/>
      <c r="V12">
        <v>2.3999999999999998E-3</v>
      </c>
      <c r="W12">
        <v>0.99760000000000004</v>
      </c>
      <c r="X12" s="94">
        <f t="shared" si="4"/>
        <v>7.3507199999999998E-3</v>
      </c>
      <c r="Y12" s="94">
        <f t="shared" si="5"/>
        <v>2.0214479999999996E-2</v>
      </c>
      <c r="Z12" s="94">
        <f t="shared" si="6"/>
        <v>3.4915920000000003E-2</v>
      </c>
      <c r="AA12" s="94">
        <f t="shared" si="7"/>
        <v>3.0554492800000004</v>
      </c>
      <c r="AB12" s="94">
        <f t="shared" si="8"/>
        <v>8.402485519999999</v>
      </c>
      <c r="AC12" s="94">
        <f t="shared" si="9"/>
        <v>14.513384080000002</v>
      </c>
      <c r="AJ12" s="18"/>
      <c r="AK12">
        <v>10</v>
      </c>
      <c r="AL12" s="34">
        <f t="shared" si="10"/>
        <v>1.1415525114155251E-3</v>
      </c>
      <c r="AM12" s="34">
        <f t="shared" si="0"/>
        <v>0.99885844748858443</v>
      </c>
      <c r="AN12" s="94">
        <f t="shared" si="11"/>
        <v>3.4879557990867582E-3</v>
      </c>
      <c r="AO12" s="94">
        <f t="shared" si="12"/>
        <v>1.7439778995433791E-3</v>
      </c>
      <c r="AP12" s="94">
        <f t="shared" si="13"/>
        <v>3.053705302100457</v>
      </c>
      <c r="AQ12" s="27"/>
      <c r="AR12" s="27"/>
      <c r="AS12" s="94">
        <f t="shared" si="14"/>
        <v>9.5918784474885825E-3</v>
      </c>
      <c r="AT12" s="94">
        <f t="shared" si="15"/>
        <v>4.7959392237442913E-3</v>
      </c>
      <c r="AU12" s="27">
        <f t="shared" si="16"/>
        <v>8.3976895807762535</v>
      </c>
      <c r="AV12" s="27"/>
      <c r="AW12" s="27"/>
      <c r="AX12" s="94">
        <f t="shared" si="17"/>
        <v>1.6567790045662101E-2</v>
      </c>
      <c r="AY12" s="94">
        <f t="shared" si="18"/>
        <v>8.2838950228310507E-3</v>
      </c>
      <c r="AZ12" s="27">
        <f t="shared" si="19"/>
        <v>14.50510018497717</v>
      </c>
      <c r="BA12" s="27"/>
      <c r="BB12" s="27"/>
      <c r="BC12" s="18"/>
      <c r="BG12" s="3"/>
      <c r="BJ12" s="3"/>
      <c r="BM12" s="3"/>
      <c r="BP12" s="117"/>
      <c r="BS12" s="107"/>
      <c r="BV12" s="107"/>
      <c r="BY12" s="107"/>
      <c r="CC12" s="117"/>
      <c r="CF12" s="27" t="s">
        <v>93</v>
      </c>
      <c r="CG12" s="27"/>
      <c r="CH12" s="27"/>
      <c r="CI12" s="27"/>
      <c r="CJ12" s="27"/>
      <c r="CK12" s="27"/>
      <c r="CL12" s="27"/>
      <c r="CM12" s="27"/>
      <c r="CN12" s="27"/>
      <c r="CO12" s="27"/>
      <c r="CP12" s="27"/>
      <c r="CQ12" s="27"/>
      <c r="CR12" s="27"/>
      <c r="CS12" s="27"/>
      <c r="CT12" s="27"/>
      <c r="CU12" s="27"/>
      <c r="CV12" s="27"/>
      <c r="CW12" s="27"/>
      <c r="CX12" s="117"/>
      <c r="DA12" s="27"/>
      <c r="DB12" s="27"/>
      <c r="DC12" s="27"/>
      <c r="DD12" s="27"/>
      <c r="DE12" s="27"/>
      <c r="DF12" s="27"/>
      <c r="DG12" s="27"/>
      <c r="DH12" s="27"/>
      <c r="DI12" s="27"/>
      <c r="DJ12" s="27"/>
      <c r="DK12" s="27"/>
      <c r="DL12" s="27"/>
      <c r="DM12" s="27"/>
      <c r="DN12" s="27"/>
      <c r="DO12" s="27"/>
      <c r="DP12" s="27"/>
      <c r="DQ12" s="27"/>
      <c r="DR12" s="27"/>
      <c r="DS12" s="121"/>
      <c r="DW12" s="3"/>
      <c r="DY12" s="38"/>
      <c r="DZ12" s="55"/>
      <c r="EA12" s="38"/>
      <c r="EB12" s="38"/>
      <c r="EC12" s="121"/>
      <c r="EG12" s="3"/>
      <c r="EI12" s="38"/>
      <c r="EJ12" s="55"/>
      <c r="EK12" s="38"/>
      <c r="EL12" s="198"/>
      <c r="EP12" s="3"/>
      <c r="ER12" s="38"/>
      <c r="ES12" s="55"/>
      <c r="ET12" s="38"/>
      <c r="EU12" s="198"/>
    </row>
    <row r="13" spans="1:151" x14ac:dyDescent="0.2">
      <c r="A13" s="3" t="s">
        <v>23</v>
      </c>
      <c r="B13">
        <v>1479</v>
      </c>
      <c r="C13">
        <v>8</v>
      </c>
      <c r="D13">
        <v>1.01</v>
      </c>
      <c r="F13" t="s">
        <v>28</v>
      </c>
      <c r="G13" t="s">
        <v>30</v>
      </c>
      <c r="H13" s="20"/>
      <c r="I13" s="21"/>
      <c r="J13">
        <v>8</v>
      </c>
      <c r="K13">
        <v>0.04</v>
      </c>
      <c r="L13">
        <v>0.11</v>
      </c>
      <c r="M13">
        <v>0.19</v>
      </c>
      <c r="N13">
        <v>1.01</v>
      </c>
      <c r="O13" s="27">
        <f t="shared" si="2"/>
        <v>0.32319999999999999</v>
      </c>
      <c r="P13" s="27">
        <f t="shared" si="20"/>
        <v>0.88880000000000003</v>
      </c>
      <c r="Q13" s="27">
        <f t="shared" si="3"/>
        <v>1.5352000000000001</v>
      </c>
      <c r="R13" s="27"/>
      <c r="S13" s="27"/>
      <c r="T13" s="27"/>
      <c r="U13" s="18"/>
      <c r="V13">
        <v>2.3999999999999998E-3</v>
      </c>
      <c r="W13">
        <v>0.99760000000000004</v>
      </c>
      <c r="X13" s="94">
        <f t="shared" si="4"/>
        <v>7.7567999999999995E-4</v>
      </c>
      <c r="Y13" s="94">
        <f t="shared" si="5"/>
        <v>2.1331200000000001E-3</v>
      </c>
      <c r="Z13" s="94">
        <f t="shared" si="6"/>
        <v>3.68448E-3</v>
      </c>
      <c r="AA13" s="94">
        <f t="shared" si="7"/>
        <v>0.32242431999999999</v>
      </c>
      <c r="AB13" s="94">
        <f t="shared" si="8"/>
        <v>0.88666688000000005</v>
      </c>
      <c r="AC13" s="94">
        <f t="shared" si="9"/>
        <v>1.5315155200000001</v>
      </c>
      <c r="AJ13" s="18"/>
      <c r="AK13">
        <v>886</v>
      </c>
      <c r="AL13" s="34">
        <f t="shared" si="10"/>
        <v>0.10114155251141553</v>
      </c>
      <c r="AM13" s="34">
        <f t="shared" si="0"/>
        <v>0.89885844748858446</v>
      </c>
      <c r="AN13" s="94">
        <f t="shared" si="11"/>
        <v>3.2610496292237445E-2</v>
      </c>
      <c r="AO13" s="94">
        <f t="shared" si="12"/>
        <v>1.6305248146118723E-2</v>
      </c>
      <c r="AP13" s="94">
        <f t="shared" si="13"/>
        <v>0.30611907185388126</v>
      </c>
      <c r="AQ13" s="27"/>
      <c r="AR13" s="27"/>
      <c r="AS13" s="94">
        <f t="shared" si="14"/>
        <v>8.9678864803652975E-2</v>
      </c>
      <c r="AT13" s="94">
        <f t="shared" si="15"/>
        <v>4.4839432401826487E-2</v>
      </c>
      <c r="AU13" s="27">
        <f t="shared" si="16"/>
        <v>0.84182744759817363</v>
      </c>
      <c r="AV13" s="27"/>
      <c r="AW13" s="27"/>
      <c r="AX13" s="94">
        <f t="shared" si="17"/>
        <v>0.15489985738812787</v>
      </c>
      <c r="AY13" s="94">
        <f t="shared" si="18"/>
        <v>7.7449928694063933E-2</v>
      </c>
      <c r="AZ13" s="27">
        <f t="shared" si="19"/>
        <v>1.4540655913059362</v>
      </c>
      <c r="BA13" s="27"/>
      <c r="BB13" s="27"/>
      <c r="BC13" s="18"/>
      <c r="BG13" s="3"/>
      <c r="BJ13" s="3"/>
      <c r="BM13" s="3"/>
      <c r="BP13" s="117"/>
      <c r="BS13" s="107"/>
      <c r="BV13" s="107"/>
      <c r="BY13" s="107"/>
      <c r="CC13" s="117"/>
      <c r="CF13" s="27"/>
      <c r="CG13" s="27"/>
      <c r="CH13" s="27"/>
      <c r="CI13" s="27"/>
      <c r="CJ13" s="27"/>
      <c r="CK13" s="27"/>
      <c r="CL13" s="27"/>
      <c r="CM13" s="27"/>
      <c r="CN13" s="27"/>
      <c r="CO13" s="27"/>
      <c r="CP13" s="27"/>
      <c r="CQ13" s="27"/>
      <c r="CR13" s="27"/>
      <c r="CS13" s="27"/>
      <c r="CT13" s="27"/>
      <c r="CU13" s="27"/>
      <c r="CV13" s="27"/>
      <c r="CW13" s="27"/>
      <c r="CX13" s="117"/>
      <c r="DA13" s="27"/>
      <c r="DB13" s="27"/>
      <c r="DC13" s="27"/>
      <c r="DD13" s="27"/>
      <c r="DE13" s="27"/>
      <c r="DF13" s="27"/>
      <c r="DG13" s="27"/>
      <c r="DH13" s="27"/>
      <c r="DI13" s="27"/>
      <c r="DJ13" s="27"/>
      <c r="DK13" s="27"/>
      <c r="DL13" s="27"/>
      <c r="DM13" s="27"/>
      <c r="DN13" s="27"/>
      <c r="DO13" s="27"/>
      <c r="DP13" s="27"/>
      <c r="DQ13" s="27"/>
      <c r="DR13" s="27"/>
      <c r="DS13" s="121"/>
      <c r="DW13" s="3"/>
      <c r="DY13" s="38"/>
      <c r="DZ13" s="55"/>
      <c r="EA13" s="38"/>
      <c r="EB13" s="38"/>
      <c r="EC13" s="121"/>
      <c r="EG13" s="3"/>
      <c r="EI13" s="38"/>
      <c r="EJ13" s="55"/>
      <c r="EK13" s="38"/>
      <c r="EL13" s="198"/>
      <c r="EP13" s="3"/>
      <c r="ER13" s="38"/>
      <c r="ES13" s="55"/>
      <c r="ET13" s="38"/>
      <c r="EU13" s="198"/>
    </row>
    <row r="14" spans="1:151" x14ac:dyDescent="0.2">
      <c r="A14" s="3" t="s">
        <v>24</v>
      </c>
      <c r="B14">
        <v>1228</v>
      </c>
      <c r="C14">
        <v>41</v>
      </c>
      <c r="D14">
        <v>3.38</v>
      </c>
      <c r="E14">
        <v>0.32500000000000001</v>
      </c>
      <c r="F14" t="s">
        <v>29</v>
      </c>
      <c r="G14" t="s">
        <v>124</v>
      </c>
      <c r="H14" s="20"/>
      <c r="I14" s="21"/>
      <c r="J14">
        <v>399</v>
      </c>
      <c r="K14">
        <v>0.04</v>
      </c>
      <c r="L14">
        <v>0.11</v>
      </c>
      <c r="M14">
        <v>0.19</v>
      </c>
      <c r="N14">
        <v>0.33</v>
      </c>
      <c r="O14" s="27">
        <f t="shared" si="2"/>
        <v>5.2668000000000008</v>
      </c>
      <c r="P14" s="27">
        <f t="shared" si="20"/>
        <v>14.483700000000001</v>
      </c>
      <c r="Q14" s="27">
        <f t="shared" si="3"/>
        <v>25.017300000000002</v>
      </c>
      <c r="R14" s="27"/>
      <c r="S14" s="27"/>
      <c r="T14" s="27"/>
      <c r="U14" s="18"/>
      <c r="V14">
        <v>2.3999999999999998E-3</v>
      </c>
      <c r="W14">
        <v>0.99760000000000004</v>
      </c>
      <c r="X14" s="94">
        <f t="shared" si="4"/>
        <v>1.264032E-2</v>
      </c>
      <c r="Y14" s="94">
        <f t="shared" si="5"/>
        <v>3.4760880000000001E-2</v>
      </c>
      <c r="Z14" s="94">
        <f t="shared" si="6"/>
        <v>6.0041520000000001E-2</v>
      </c>
      <c r="AA14" s="94">
        <f t="shared" si="7"/>
        <v>5.2541596800000008</v>
      </c>
      <c r="AB14" s="94">
        <f t="shared" si="8"/>
        <v>14.448939120000002</v>
      </c>
      <c r="AC14" s="94">
        <f t="shared" si="9"/>
        <v>24.957258480000004</v>
      </c>
      <c r="AJ14" s="18"/>
      <c r="AK14">
        <v>167</v>
      </c>
      <c r="AL14" s="34">
        <f t="shared" si="10"/>
        <v>1.906392694063927E-2</v>
      </c>
      <c r="AM14" s="34">
        <f t="shared" si="0"/>
        <v>0.9809360730593607</v>
      </c>
      <c r="AN14" s="94">
        <f t="shared" si="11"/>
        <v>0.10016491627397262</v>
      </c>
      <c r="AO14" s="94">
        <f t="shared" si="12"/>
        <v>5.0082458136986308E-2</v>
      </c>
      <c r="AP14" s="94">
        <f t="shared" si="13"/>
        <v>5.2040772218630149</v>
      </c>
      <c r="AQ14" s="27"/>
      <c r="AR14" s="27"/>
      <c r="AS14" s="94">
        <f t="shared" si="14"/>
        <v>0.27545351975342469</v>
      </c>
      <c r="AT14" s="94">
        <f t="shared" si="15"/>
        <v>0.13772675987671235</v>
      </c>
      <c r="AU14" s="27">
        <f t="shared" si="16"/>
        <v>14.311212360123289</v>
      </c>
      <c r="AV14" s="27"/>
      <c r="AW14" s="27"/>
      <c r="AX14" s="94">
        <f t="shared" si="17"/>
        <v>0.47578335230136992</v>
      </c>
      <c r="AY14" s="94">
        <f t="shared" si="18"/>
        <v>0.23789167615068496</v>
      </c>
      <c r="AZ14" s="27">
        <f t="shared" si="19"/>
        <v>24.719366803849319</v>
      </c>
      <c r="BA14" s="27"/>
      <c r="BB14" s="27"/>
      <c r="BC14" s="18"/>
      <c r="BG14" s="3"/>
      <c r="BJ14" s="3"/>
      <c r="BM14" s="3"/>
      <c r="BP14" s="117"/>
      <c r="BS14" s="107"/>
      <c r="BV14" s="107"/>
      <c r="BY14" s="107"/>
      <c r="CC14" s="117"/>
      <c r="CF14" s="27"/>
      <c r="CG14" s="27"/>
      <c r="CH14" s="27"/>
      <c r="CI14" s="27"/>
      <c r="CJ14" s="27"/>
      <c r="CK14" s="27"/>
      <c r="CL14" s="27"/>
      <c r="CM14" s="27"/>
      <c r="CN14" s="27"/>
      <c r="CO14" s="27"/>
      <c r="CP14" s="27"/>
      <c r="CQ14" s="27"/>
      <c r="CR14" s="27"/>
      <c r="CS14" s="27"/>
      <c r="CT14" s="27"/>
      <c r="CU14" s="27"/>
      <c r="CV14" s="27"/>
      <c r="CW14" s="27"/>
      <c r="CX14" s="117"/>
      <c r="DA14" s="27"/>
      <c r="DB14" s="27"/>
      <c r="DC14" s="27"/>
      <c r="DD14" s="27"/>
      <c r="DE14" s="27"/>
      <c r="DF14" s="27"/>
      <c r="DG14" s="27"/>
      <c r="DH14" s="27"/>
      <c r="DI14" s="27"/>
      <c r="DJ14" s="27"/>
      <c r="DK14" s="27"/>
      <c r="DL14" s="27"/>
      <c r="DM14" s="27"/>
      <c r="DN14" s="27"/>
      <c r="DO14" s="27"/>
      <c r="DP14" s="27"/>
      <c r="DQ14" s="27"/>
      <c r="DR14" s="27"/>
      <c r="DS14" s="121"/>
      <c r="DW14" s="3"/>
      <c r="DY14" s="38"/>
      <c r="DZ14" s="55"/>
      <c r="EA14" s="38"/>
      <c r="EB14" s="38"/>
      <c r="EC14" s="121"/>
      <c r="EG14" s="3"/>
      <c r="EI14" s="38"/>
      <c r="EJ14" s="55"/>
      <c r="EK14" s="38"/>
      <c r="EL14" s="198"/>
      <c r="EP14" s="3"/>
      <c r="ER14" s="38"/>
      <c r="ES14" s="55"/>
      <c r="ET14" s="38"/>
      <c r="EU14" s="198"/>
    </row>
    <row r="15" spans="1:151" x14ac:dyDescent="0.2">
      <c r="A15" s="3" t="s">
        <v>31</v>
      </c>
      <c r="B15">
        <v>1379</v>
      </c>
      <c r="C15">
        <v>6</v>
      </c>
      <c r="D15">
        <v>0.59</v>
      </c>
      <c r="F15" t="s">
        <v>32</v>
      </c>
      <c r="G15" t="s">
        <v>30</v>
      </c>
      <c r="H15" s="20"/>
      <c r="I15" s="21"/>
      <c r="J15">
        <v>6</v>
      </c>
      <c r="K15">
        <v>0.04</v>
      </c>
      <c r="L15">
        <v>0.11</v>
      </c>
      <c r="M15">
        <v>0.19</v>
      </c>
      <c r="N15">
        <v>0.59</v>
      </c>
      <c r="O15" s="27">
        <f t="shared" si="2"/>
        <v>0.14159999999999998</v>
      </c>
      <c r="P15" s="27">
        <f t="shared" si="20"/>
        <v>0.38940000000000002</v>
      </c>
      <c r="Q15" s="27">
        <f t="shared" si="3"/>
        <v>0.67260000000000009</v>
      </c>
      <c r="R15" s="27"/>
      <c r="S15" s="27"/>
      <c r="T15" s="27"/>
      <c r="U15" s="18"/>
      <c r="V15">
        <v>2.3999999999999998E-3</v>
      </c>
      <c r="W15">
        <v>0.99760000000000004</v>
      </c>
      <c r="X15" s="94">
        <f t="shared" si="4"/>
        <v>3.3983999999999989E-4</v>
      </c>
      <c r="Y15" s="94">
        <f t="shared" si="5"/>
        <v>9.3455999999999997E-4</v>
      </c>
      <c r="Z15" s="94">
        <f t="shared" si="6"/>
        <v>1.6142400000000001E-3</v>
      </c>
      <c r="AA15" s="94">
        <f t="shared" si="7"/>
        <v>0.14126016</v>
      </c>
      <c r="AB15" s="94">
        <f t="shared" si="8"/>
        <v>0.38846544000000005</v>
      </c>
      <c r="AC15" s="94">
        <f t="shared" si="9"/>
        <v>0.6709857600000001</v>
      </c>
      <c r="AJ15" s="18"/>
      <c r="AK15">
        <v>1315</v>
      </c>
      <c r="AL15" s="34">
        <f t="shared" si="10"/>
        <v>0.15011415525114155</v>
      </c>
      <c r="AM15" s="34">
        <f t="shared" si="0"/>
        <v>0.84988584474885842</v>
      </c>
      <c r="AN15" s="94">
        <f t="shared" si="11"/>
        <v>2.1205149589041097E-2</v>
      </c>
      <c r="AO15" s="94">
        <f t="shared" si="12"/>
        <v>1.0602574794520548E-2</v>
      </c>
      <c r="AP15" s="94">
        <f t="shared" si="13"/>
        <v>0.13065758520547943</v>
      </c>
      <c r="AQ15" s="27"/>
      <c r="AR15" s="27"/>
      <c r="AS15" s="94">
        <f t="shared" si="14"/>
        <v>5.8314161369863018E-2</v>
      </c>
      <c r="AT15" s="94">
        <f t="shared" si="15"/>
        <v>2.9157080684931509E-2</v>
      </c>
      <c r="AU15" s="27">
        <f t="shared" si="16"/>
        <v>0.35930835931506855</v>
      </c>
      <c r="AV15" s="27"/>
      <c r="AW15" s="27"/>
      <c r="AX15" s="94">
        <f t="shared" si="17"/>
        <v>0.10072446054794522</v>
      </c>
      <c r="AY15" s="94">
        <f t="shared" si="18"/>
        <v>5.0362230273972609E-2</v>
      </c>
      <c r="AZ15" s="27">
        <f t="shared" si="19"/>
        <v>0.62062352972602741</v>
      </c>
      <c r="BA15" s="27"/>
      <c r="BB15" s="27"/>
      <c r="BC15" s="18"/>
      <c r="BG15" s="3"/>
      <c r="BJ15" s="3"/>
      <c r="BM15" s="3"/>
      <c r="BP15" s="117"/>
      <c r="BS15" s="107"/>
      <c r="BV15" s="107"/>
      <c r="BY15" s="107"/>
      <c r="CC15" s="117"/>
      <c r="CF15" s="27"/>
      <c r="CG15" s="27"/>
      <c r="CH15" s="27"/>
      <c r="CI15" s="27"/>
      <c r="CJ15" s="27"/>
      <c r="CK15" s="27"/>
      <c r="CL15" s="27"/>
      <c r="CM15" s="27"/>
      <c r="CN15" s="27"/>
      <c r="CO15" s="27"/>
      <c r="CP15" s="27"/>
      <c r="CQ15" s="27"/>
      <c r="CR15" s="27"/>
      <c r="CS15" s="27"/>
      <c r="CT15" s="27"/>
      <c r="CU15" s="27"/>
      <c r="CV15" s="27"/>
      <c r="CW15" s="27"/>
      <c r="CX15" s="117"/>
      <c r="DA15" s="27"/>
      <c r="DB15" s="27"/>
      <c r="DC15" s="27"/>
      <c r="DD15" s="27"/>
      <c r="DE15" s="27"/>
      <c r="DF15" s="27"/>
      <c r="DG15" s="27"/>
      <c r="DH15" s="27"/>
      <c r="DI15" s="27"/>
      <c r="DJ15" s="27"/>
      <c r="DK15" s="27"/>
      <c r="DL15" s="27"/>
      <c r="DM15" s="27"/>
      <c r="DN15" s="27"/>
      <c r="DO15" s="27"/>
      <c r="DP15" s="27"/>
      <c r="DQ15" s="27"/>
      <c r="DR15" s="27"/>
      <c r="DS15" s="121"/>
      <c r="DW15" s="3"/>
      <c r="DY15" s="38"/>
      <c r="DZ15" s="55"/>
      <c r="EA15" s="38"/>
      <c r="EB15" s="38"/>
      <c r="EC15" s="121"/>
      <c r="EG15" s="3"/>
      <c r="EI15" s="38"/>
      <c r="EJ15" s="55"/>
      <c r="EK15" s="38"/>
      <c r="EL15" s="198"/>
      <c r="EP15" s="3"/>
      <c r="ER15" s="38"/>
      <c r="ES15" s="55"/>
      <c r="ET15" s="38"/>
      <c r="EU15" s="198"/>
    </row>
    <row r="16" spans="1:151" x14ac:dyDescent="0.2">
      <c r="A16" s="3" t="s">
        <v>33</v>
      </c>
      <c r="B16">
        <v>1179</v>
      </c>
      <c r="C16">
        <v>10</v>
      </c>
      <c r="D16">
        <v>2.5</v>
      </c>
      <c r="E16">
        <v>0.625</v>
      </c>
      <c r="F16" t="s">
        <v>34</v>
      </c>
      <c r="G16" t="s">
        <v>11</v>
      </c>
      <c r="H16" s="20"/>
      <c r="I16" s="21"/>
      <c r="J16">
        <v>737</v>
      </c>
      <c r="K16">
        <v>0.04</v>
      </c>
      <c r="L16">
        <v>0.11</v>
      </c>
      <c r="M16">
        <v>0.19</v>
      </c>
      <c r="N16">
        <v>0.63</v>
      </c>
      <c r="O16" s="27">
        <f t="shared" si="2"/>
        <v>18.572400000000002</v>
      </c>
      <c r="P16" s="27">
        <f t="shared" si="20"/>
        <v>51.074100000000008</v>
      </c>
      <c r="Q16" s="27">
        <f t="shared" si="3"/>
        <v>88.218900000000005</v>
      </c>
      <c r="R16" s="27"/>
      <c r="S16" s="27"/>
      <c r="T16" s="27"/>
      <c r="U16" s="18"/>
      <c r="V16">
        <v>2.3999999999999998E-3</v>
      </c>
      <c r="W16">
        <v>0.99760000000000004</v>
      </c>
      <c r="X16" s="94">
        <f t="shared" si="4"/>
        <v>4.4573759999999997E-2</v>
      </c>
      <c r="Y16" s="94">
        <f t="shared" si="5"/>
        <v>0.12257784000000001</v>
      </c>
      <c r="Z16" s="94">
        <f t="shared" si="6"/>
        <v>0.21172536</v>
      </c>
      <c r="AA16" s="94">
        <f t="shared" si="7"/>
        <v>18.527826240000003</v>
      </c>
      <c r="AB16" s="94">
        <f t="shared" si="8"/>
        <v>50.95152216000001</v>
      </c>
      <c r="AC16" s="94">
        <f t="shared" si="9"/>
        <v>88.007174640000002</v>
      </c>
      <c r="AJ16" s="18"/>
      <c r="AK16">
        <v>149</v>
      </c>
      <c r="AL16" s="34">
        <f t="shared" si="10"/>
        <v>1.7009132420091323E-2</v>
      </c>
      <c r="AM16" s="34">
        <f t="shared" si="0"/>
        <v>0.98299086757990872</v>
      </c>
      <c r="AN16" s="94">
        <f t="shared" si="11"/>
        <v>0.31514224997260276</v>
      </c>
      <c r="AO16" s="94">
        <f t="shared" si="12"/>
        <v>0.15757112498630138</v>
      </c>
      <c r="AP16" s="94">
        <f t="shared" si="13"/>
        <v>18.370255115013702</v>
      </c>
      <c r="AQ16" s="27"/>
      <c r="AR16" s="27"/>
      <c r="AS16" s="94">
        <f t="shared" si="14"/>
        <v>0.86664118742465768</v>
      </c>
      <c r="AT16" s="94">
        <f t="shared" si="15"/>
        <v>0.43332059371232884</v>
      </c>
      <c r="AU16" s="27">
        <f t="shared" si="16"/>
        <v>50.518201566287686</v>
      </c>
      <c r="AV16" s="27"/>
      <c r="AW16" s="27"/>
      <c r="AX16" s="94">
        <f t="shared" si="17"/>
        <v>1.4969256873698629</v>
      </c>
      <c r="AY16" s="94">
        <f t="shared" si="18"/>
        <v>0.74846284368493143</v>
      </c>
      <c r="AZ16" s="27">
        <f t="shared" si="19"/>
        <v>87.258711796315083</v>
      </c>
      <c r="BA16" s="27"/>
      <c r="BB16" s="27"/>
      <c r="BC16" s="18"/>
      <c r="BG16" s="3"/>
      <c r="BJ16" s="3"/>
      <c r="BM16" s="3"/>
      <c r="BP16" s="117"/>
      <c r="BS16" s="107"/>
      <c r="BV16" s="107"/>
      <c r="BY16" s="107"/>
      <c r="CC16" s="117"/>
      <c r="CF16" s="27"/>
      <c r="CG16" s="27"/>
      <c r="CH16" s="27"/>
      <c r="CI16" s="27"/>
      <c r="CJ16" s="27"/>
      <c r="CK16" s="27"/>
      <c r="CL16" s="27"/>
      <c r="CM16" s="27"/>
      <c r="CN16" s="27"/>
      <c r="CO16" s="27"/>
      <c r="CP16" s="27"/>
      <c r="CQ16" s="27"/>
      <c r="CR16" s="27"/>
      <c r="CS16" s="27"/>
      <c r="CT16" s="27"/>
      <c r="CU16" s="27"/>
      <c r="CV16" s="27"/>
      <c r="CW16" s="27"/>
      <c r="CX16" s="117"/>
      <c r="DA16" s="27"/>
      <c r="DB16" s="27"/>
      <c r="DC16" s="27"/>
      <c r="DD16" s="27"/>
      <c r="DE16" s="27"/>
      <c r="DF16" s="27"/>
      <c r="DG16" s="27"/>
      <c r="DH16" s="27"/>
      <c r="DI16" s="27"/>
      <c r="DJ16" s="27"/>
      <c r="DK16" s="27"/>
      <c r="DL16" s="27"/>
      <c r="DM16" s="27"/>
      <c r="DN16" s="27"/>
      <c r="DO16" s="27"/>
      <c r="DP16" s="27"/>
      <c r="DQ16" s="27"/>
      <c r="DR16" s="27"/>
      <c r="DS16" s="121"/>
      <c r="DW16" s="3"/>
      <c r="DY16" s="38"/>
      <c r="DZ16" s="55"/>
      <c r="EA16" s="38"/>
      <c r="EB16" s="38"/>
      <c r="EC16" s="121"/>
      <c r="EG16" s="3"/>
      <c r="EI16" s="38"/>
      <c r="EJ16" s="55"/>
      <c r="EK16" s="38"/>
      <c r="EL16" s="198"/>
      <c r="EP16" s="3"/>
      <c r="ER16" s="38"/>
      <c r="ES16" s="55"/>
      <c r="ET16" s="38"/>
      <c r="EU16" s="198"/>
    </row>
    <row r="17" spans="1:151" x14ac:dyDescent="0.2">
      <c r="A17" s="3" t="s">
        <v>35</v>
      </c>
      <c r="B17">
        <v>1252</v>
      </c>
      <c r="C17">
        <v>1250</v>
      </c>
      <c r="D17">
        <v>0.08</v>
      </c>
      <c r="F17" t="s">
        <v>36</v>
      </c>
      <c r="G17" t="s">
        <v>126</v>
      </c>
      <c r="H17" s="20"/>
      <c r="I17" s="21"/>
      <c r="J17">
        <v>100</v>
      </c>
      <c r="K17">
        <v>0.04</v>
      </c>
      <c r="L17">
        <v>0.11</v>
      </c>
      <c r="M17">
        <v>0.19</v>
      </c>
      <c r="N17">
        <v>0.08</v>
      </c>
      <c r="O17" s="27">
        <f t="shared" si="2"/>
        <v>0.32</v>
      </c>
      <c r="P17" s="27">
        <f t="shared" si="20"/>
        <v>0.88</v>
      </c>
      <c r="Q17" s="27">
        <f t="shared" si="3"/>
        <v>1.52</v>
      </c>
      <c r="R17" s="27"/>
      <c r="S17" s="27"/>
      <c r="T17" s="27"/>
      <c r="U17" s="18"/>
      <c r="V17">
        <v>2.3999999999999998E-3</v>
      </c>
      <c r="W17">
        <v>0.99760000000000004</v>
      </c>
      <c r="X17" s="94">
        <f t="shared" si="4"/>
        <v>7.6799999999999991E-4</v>
      </c>
      <c r="Y17" s="94">
        <f t="shared" si="5"/>
        <v>2.1119999999999997E-3</v>
      </c>
      <c r="Z17" s="94">
        <f t="shared" si="6"/>
        <v>3.6479999999999998E-3</v>
      </c>
      <c r="AA17" s="94">
        <f t="shared" si="7"/>
        <v>0.31923200000000002</v>
      </c>
      <c r="AB17" s="94">
        <f t="shared" si="8"/>
        <v>0.877888</v>
      </c>
      <c r="AC17" s="94">
        <f t="shared" si="9"/>
        <v>1.5163520000000001</v>
      </c>
      <c r="AJ17" s="18"/>
      <c r="AK17">
        <v>1181</v>
      </c>
      <c r="AL17" s="34">
        <f t="shared" si="10"/>
        <v>0.13481735159817351</v>
      </c>
      <c r="AM17" s="34">
        <f t="shared" si="0"/>
        <v>0.86518264840182646</v>
      </c>
      <c r="AN17" s="94">
        <f t="shared" si="11"/>
        <v>4.303801278538813E-2</v>
      </c>
      <c r="AO17" s="94">
        <f t="shared" si="12"/>
        <v>2.1519006392694065E-2</v>
      </c>
      <c r="AP17" s="94">
        <f t="shared" si="13"/>
        <v>0.29771299360730591</v>
      </c>
      <c r="AQ17" s="27"/>
      <c r="AR17" s="27"/>
      <c r="AS17" s="94">
        <f t="shared" si="14"/>
        <v>0.11835453515981735</v>
      </c>
      <c r="AT17" s="94">
        <f t="shared" si="15"/>
        <v>5.9177267579908675E-2</v>
      </c>
      <c r="AU17" s="27">
        <f t="shared" si="16"/>
        <v>0.81871073242009129</v>
      </c>
      <c r="AV17" s="27"/>
      <c r="AW17" s="27"/>
      <c r="AX17" s="94">
        <f t="shared" si="17"/>
        <v>0.20443056073059362</v>
      </c>
      <c r="AY17" s="94">
        <f t="shared" si="18"/>
        <v>0.10221528036529681</v>
      </c>
      <c r="AZ17" s="27">
        <f t="shared" si="19"/>
        <v>1.4141367196347034</v>
      </c>
      <c r="BA17" s="27"/>
      <c r="BB17" s="27"/>
      <c r="BC17" s="18"/>
      <c r="BG17" s="3"/>
      <c r="BJ17" s="3"/>
      <c r="BM17" s="3"/>
      <c r="BP17" s="117"/>
      <c r="BS17" s="107"/>
      <c r="BV17" s="107"/>
      <c r="BY17" s="107"/>
      <c r="CC17" s="117"/>
      <c r="CF17" s="27"/>
      <c r="CG17" s="27"/>
      <c r="CH17" s="27"/>
      <c r="CI17" s="27"/>
      <c r="CJ17" s="27"/>
      <c r="CK17" s="27"/>
      <c r="CL17" s="27"/>
      <c r="CM17" s="27"/>
      <c r="CN17" s="27"/>
      <c r="CO17" s="27"/>
      <c r="CP17" s="27"/>
      <c r="CQ17" s="27"/>
      <c r="CR17" s="27"/>
      <c r="CS17" s="27"/>
      <c r="CT17" s="27"/>
      <c r="CU17" s="27"/>
      <c r="CV17" s="27"/>
      <c r="CW17" s="27"/>
      <c r="CX17" s="117"/>
      <c r="DA17" s="27"/>
      <c r="DB17" s="27"/>
      <c r="DC17" s="27"/>
      <c r="DD17" s="27"/>
      <c r="DE17" s="27"/>
      <c r="DF17" s="27"/>
      <c r="DG17" s="27"/>
      <c r="DH17" s="27"/>
      <c r="DI17" s="27"/>
      <c r="DJ17" s="27"/>
      <c r="DK17" s="27"/>
      <c r="DL17" s="27"/>
      <c r="DM17" s="27"/>
      <c r="DN17" s="27"/>
      <c r="DO17" s="27"/>
      <c r="DP17" s="27"/>
      <c r="DQ17" s="27"/>
      <c r="DR17" s="27"/>
      <c r="DS17" s="121"/>
      <c r="DW17" s="3"/>
      <c r="DY17" s="38"/>
      <c r="DZ17" s="55"/>
      <c r="EA17" s="38"/>
      <c r="EB17" s="38"/>
      <c r="EC17" s="121"/>
      <c r="EG17" s="3"/>
      <c r="EI17" s="38"/>
      <c r="EJ17" s="55"/>
      <c r="EK17" s="38"/>
      <c r="EL17" s="198"/>
      <c r="EP17" s="3"/>
      <c r="ER17" s="38"/>
      <c r="ES17" s="55"/>
      <c r="ET17" s="38"/>
      <c r="EU17" s="198"/>
    </row>
    <row r="18" spans="1:151" x14ac:dyDescent="0.2">
      <c r="A18" s="3" t="s">
        <v>37</v>
      </c>
      <c r="B18">
        <v>1186.5</v>
      </c>
      <c r="C18">
        <v>901</v>
      </c>
      <c r="D18">
        <v>0.69</v>
      </c>
      <c r="E18">
        <v>0.16500000000000001</v>
      </c>
      <c r="F18" t="s">
        <v>38</v>
      </c>
      <c r="G18" t="s">
        <v>16</v>
      </c>
      <c r="H18" s="20"/>
      <c r="I18" s="21"/>
      <c r="J18">
        <v>819</v>
      </c>
      <c r="K18">
        <v>0.04</v>
      </c>
      <c r="L18">
        <v>0.11</v>
      </c>
      <c r="M18">
        <v>0.19</v>
      </c>
      <c r="N18">
        <v>0.17</v>
      </c>
      <c r="O18" s="27">
        <f t="shared" si="2"/>
        <v>5.5692000000000004</v>
      </c>
      <c r="P18" s="27">
        <f t="shared" si="20"/>
        <v>15.315300000000002</v>
      </c>
      <c r="Q18" s="27">
        <f t="shared" si="3"/>
        <v>26.453700000000005</v>
      </c>
      <c r="R18" s="27"/>
      <c r="S18" s="27"/>
      <c r="T18" s="27"/>
      <c r="U18" s="18"/>
      <c r="V18">
        <v>2.3999999999999998E-3</v>
      </c>
      <c r="W18">
        <v>0.99760000000000004</v>
      </c>
      <c r="X18" s="94">
        <f t="shared" si="4"/>
        <v>1.3366079999999999E-2</v>
      </c>
      <c r="Y18" s="94">
        <f t="shared" si="5"/>
        <v>3.675672E-2</v>
      </c>
      <c r="Z18" s="94">
        <f t="shared" si="6"/>
        <v>6.3488880000000011E-2</v>
      </c>
      <c r="AA18" s="94">
        <f t="shared" si="7"/>
        <v>5.5558339200000004</v>
      </c>
      <c r="AB18" s="94">
        <f t="shared" si="8"/>
        <v>15.278543280000003</v>
      </c>
      <c r="AC18" s="94">
        <f t="shared" si="9"/>
        <v>26.390211120000007</v>
      </c>
      <c r="AJ18" s="18"/>
      <c r="AK18">
        <v>171</v>
      </c>
      <c r="AL18" s="34">
        <f t="shared" si="10"/>
        <v>1.9520547945205479E-2</v>
      </c>
      <c r="AM18" s="34">
        <f t="shared" si="0"/>
        <v>0.98047945205479448</v>
      </c>
      <c r="AN18" s="94">
        <f t="shared" si="11"/>
        <v>0.10845292241095891</v>
      </c>
      <c r="AO18" s="94">
        <f t="shared" si="12"/>
        <v>5.4226461205479456E-2</v>
      </c>
      <c r="AP18" s="94">
        <f t="shared" si="13"/>
        <v>5.5016074587945205</v>
      </c>
      <c r="AQ18" s="27"/>
      <c r="AR18" s="27"/>
      <c r="AS18" s="94">
        <f t="shared" si="14"/>
        <v>0.29824553663013703</v>
      </c>
      <c r="AT18" s="94">
        <f t="shared" si="15"/>
        <v>0.14912276831506852</v>
      </c>
      <c r="AU18" s="27">
        <f t="shared" si="16"/>
        <v>15.129420511684934</v>
      </c>
      <c r="AV18" s="27"/>
      <c r="AW18" s="27"/>
      <c r="AX18" s="94">
        <f t="shared" si="17"/>
        <v>0.51515138145205497</v>
      </c>
      <c r="AY18" s="94">
        <f t="shared" si="18"/>
        <v>0.25757569072602748</v>
      </c>
      <c r="AZ18" s="27">
        <f t="shared" si="19"/>
        <v>26.132635429273979</v>
      </c>
      <c r="BA18" s="27"/>
      <c r="BB18" s="27"/>
      <c r="BC18" s="18"/>
      <c r="BG18" s="3"/>
      <c r="BJ18" s="3"/>
      <c r="BM18" s="3"/>
      <c r="BP18" s="117"/>
      <c r="BS18" s="107"/>
      <c r="BV18" s="107"/>
      <c r="BY18" s="107"/>
      <c r="CC18" s="117"/>
      <c r="CF18" s="27"/>
      <c r="CG18" s="27"/>
      <c r="CH18" s="27"/>
      <c r="CI18" s="27"/>
      <c r="CJ18" s="27"/>
      <c r="CK18" s="27"/>
      <c r="CL18" s="27"/>
      <c r="CM18" s="27"/>
      <c r="CN18" s="27"/>
      <c r="CO18" s="27"/>
      <c r="CP18" s="27"/>
      <c r="CQ18" s="27"/>
      <c r="CR18" s="27"/>
      <c r="CS18" s="27"/>
      <c r="CT18" s="27"/>
      <c r="CU18" s="27"/>
      <c r="CV18" s="27"/>
      <c r="CW18" s="27"/>
      <c r="CX18" s="117"/>
      <c r="DA18" s="27"/>
      <c r="DB18" s="27"/>
      <c r="DC18" s="27"/>
      <c r="DD18" s="27"/>
      <c r="DE18" s="27"/>
      <c r="DF18" s="27"/>
      <c r="DG18" s="27"/>
      <c r="DH18" s="27"/>
      <c r="DI18" s="27"/>
      <c r="DJ18" s="27"/>
      <c r="DK18" s="27"/>
      <c r="DL18" s="27"/>
      <c r="DM18" s="27"/>
      <c r="DN18" s="27"/>
      <c r="DO18" s="27"/>
      <c r="DP18" s="27"/>
      <c r="DQ18" s="27"/>
      <c r="DR18" s="27"/>
      <c r="DS18" s="121"/>
      <c r="DW18" s="3"/>
      <c r="DY18" s="38"/>
      <c r="DZ18" s="55"/>
      <c r="EA18" s="38"/>
      <c r="EB18" s="38"/>
      <c r="EC18" s="121"/>
      <c r="EG18" s="3"/>
      <c r="EI18" s="38"/>
      <c r="EJ18" s="55"/>
      <c r="EK18" s="38"/>
      <c r="EL18" s="198"/>
      <c r="EP18" s="3"/>
      <c r="ER18" s="38"/>
      <c r="ES18" s="55"/>
      <c r="ET18" s="38"/>
      <c r="EU18" s="198"/>
    </row>
    <row r="19" spans="1:151" x14ac:dyDescent="0.2">
      <c r="A19" s="3" t="s">
        <v>39</v>
      </c>
      <c r="B19">
        <v>1747</v>
      </c>
      <c r="C19">
        <v>901</v>
      </c>
      <c r="D19">
        <v>0.41</v>
      </c>
      <c r="F19" t="s">
        <v>40</v>
      </c>
      <c r="G19" t="s">
        <v>126</v>
      </c>
      <c r="H19" s="20"/>
      <c r="I19" s="21"/>
      <c r="J19">
        <v>716</v>
      </c>
      <c r="K19">
        <v>0.04</v>
      </c>
      <c r="L19">
        <v>0.11</v>
      </c>
      <c r="M19">
        <v>0.19</v>
      </c>
      <c r="N19">
        <v>0.41</v>
      </c>
      <c r="O19" s="27">
        <f t="shared" si="2"/>
        <v>11.7424</v>
      </c>
      <c r="P19" s="27">
        <f t="shared" si="20"/>
        <v>32.291600000000003</v>
      </c>
      <c r="Q19" s="27">
        <f t="shared" si="3"/>
        <v>55.776399999999995</v>
      </c>
      <c r="R19" s="27"/>
      <c r="S19" s="27"/>
      <c r="T19" s="27"/>
      <c r="U19" s="18"/>
      <c r="V19">
        <v>2.3999999999999998E-3</v>
      </c>
      <c r="W19">
        <v>0.99760000000000004</v>
      </c>
      <c r="X19" s="94">
        <f t="shared" si="4"/>
        <v>2.8181759999999997E-2</v>
      </c>
      <c r="Y19" s="94">
        <f t="shared" si="5"/>
        <v>7.749984E-2</v>
      </c>
      <c r="Z19" s="94">
        <f t="shared" si="6"/>
        <v>0.13386335999999999</v>
      </c>
      <c r="AA19" s="94">
        <f t="shared" si="7"/>
        <v>11.714218240000001</v>
      </c>
      <c r="AB19" s="94">
        <f t="shared" si="8"/>
        <v>32.214100160000001</v>
      </c>
      <c r="AC19" s="94">
        <f t="shared" si="9"/>
        <v>55.642536639999996</v>
      </c>
      <c r="AJ19" s="18"/>
      <c r="AK19">
        <v>14</v>
      </c>
      <c r="AL19" s="34">
        <f t="shared" si="10"/>
        <v>1.5981735159817352E-3</v>
      </c>
      <c r="AM19" s="34">
        <f t="shared" si="0"/>
        <v>0.99840182648401832</v>
      </c>
      <c r="AN19" s="94">
        <f t="shared" si="11"/>
        <v>1.8721353351598177E-2</v>
      </c>
      <c r="AO19" s="94">
        <f t="shared" si="12"/>
        <v>9.3606766757990886E-3</v>
      </c>
      <c r="AP19" s="94">
        <f t="shared" si="13"/>
        <v>11.704857563324202</v>
      </c>
      <c r="AQ19" s="27"/>
      <c r="AR19" s="27"/>
      <c r="AS19" s="94">
        <f t="shared" si="14"/>
        <v>5.1483721716894984E-2</v>
      </c>
      <c r="AT19" s="94">
        <f t="shared" si="15"/>
        <v>2.5741860858447492E-2</v>
      </c>
      <c r="AU19" s="27">
        <f t="shared" si="16"/>
        <v>32.188358299141555</v>
      </c>
      <c r="AV19" s="27"/>
      <c r="AW19" s="27"/>
      <c r="AX19" s="94">
        <f t="shared" si="17"/>
        <v>8.8926428420091325E-2</v>
      </c>
      <c r="AY19" s="94">
        <f t="shared" si="18"/>
        <v>4.4463214210045662E-2</v>
      </c>
      <c r="AZ19" s="27">
        <f t="shared" si="19"/>
        <v>55.598073425789956</v>
      </c>
      <c r="BA19" s="27"/>
      <c r="BB19" s="27"/>
      <c r="BC19" s="18"/>
      <c r="BG19" s="3"/>
      <c r="BJ19" s="3"/>
      <c r="BM19" s="3"/>
      <c r="BP19" s="117"/>
      <c r="BS19" s="107"/>
      <c r="BV19" s="107"/>
      <c r="BY19" s="107"/>
      <c r="CC19" s="117"/>
      <c r="CF19" s="27"/>
      <c r="CG19" s="27"/>
      <c r="CH19" s="27"/>
      <c r="CI19" s="27"/>
      <c r="CJ19" s="27"/>
      <c r="CK19" s="27"/>
      <c r="CL19" s="27"/>
      <c r="CM19" s="27"/>
      <c r="CN19" s="27"/>
      <c r="CO19" s="27"/>
      <c r="CP19" s="27"/>
      <c r="CQ19" s="27"/>
      <c r="CR19" s="27"/>
      <c r="CS19" s="27"/>
      <c r="CT19" s="27"/>
      <c r="CU19" s="27"/>
      <c r="CV19" s="27"/>
      <c r="CW19" s="27"/>
      <c r="CX19" s="117"/>
      <c r="DA19" s="27"/>
      <c r="DB19" s="27"/>
      <c r="DC19" s="27"/>
      <c r="DD19" s="27"/>
      <c r="DE19" s="27"/>
      <c r="DF19" s="27"/>
      <c r="DG19" s="27"/>
      <c r="DH19" s="27"/>
      <c r="DI19" s="27"/>
      <c r="DJ19" s="27"/>
      <c r="DK19" s="27"/>
      <c r="DL19" s="27"/>
      <c r="DM19" s="27"/>
      <c r="DN19" s="27"/>
      <c r="DO19" s="27"/>
      <c r="DP19" s="27"/>
      <c r="DQ19" s="27"/>
      <c r="DR19" s="27"/>
      <c r="DS19" s="121"/>
      <c r="DW19" s="3"/>
      <c r="DY19" s="38"/>
      <c r="DZ19" s="55"/>
      <c r="EA19" s="38"/>
      <c r="EB19" s="38"/>
      <c r="EC19" s="121"/>
      <c r="EG19" s="3"/>
      <c r="EI19" s="38"/>
      <c r="EJ19" s="55"/>
      <c r="EK19" s="38"/>
      <c r="EL19" s="198"/>
      <c r="EP19" s="3"/>
      <c r="ER19" s="38"/>
      <c r="ES19" s="55"/>
      <c r="ET19" s="38"/>
      <c r="EU19" s="198"/>
    </row>
    <row r="20" spans="1:151" x14ac:dyDescent="0.2">
      <c r="A20" s="3" t="s">
        <v>41</v>
      </c>
      <c r="B20">
        <v>1179</v>
      </c>
      <c r="C20">
        <v>10</v>
      </c>
      <c r="D20">
        <v>0.34</v>
      </c>
      <c r="E20">
        <v>0.25</v>
      </c>
      <c r="F20" t="s">
        <v>42</v>
      </c>
      <c r="G20" t="s">
        <v>11</v>
      </c>
      <c r="H20" s="20"/>
      <c r="I20" s="21"/>
      <c r="J20">
        <v>295</v>
      </c>
      <c r="K20">
        <v>0.04</v>
      </c>
      <c r="L20">
        <v>0.11</v>
      </c>
      <c r="M20">
        <v>0.19</v>
      </c>
      <c r="N20">
        <v>0.25</v>
      </c>
      <c r="O20" s="27">
        <f t="shared" si="2"/>
        <v>2.95</v>
      </c>
      <c r="P20" s="27">
        <f t="shared" si="20"/>
        <v>8.1125000000000007</v>
      </c>
      <c r="Q20" s="27">
        <f t="shared" si="3"/>
        <v>14.012499999999999</v>
      </c>
      <c r="R20" s="27"/>
      <c r="S20" s="27"/>
      <c r="T20" s="27"/>
      <c r="U20" s="18"/>
      <c r="V20">
        <v>2.3999999999999998E-3</v>
      </c>
      <c r="W20">
        <v>0.99760000000000004</v>
      </c>
      <c r="X20" s="94">
        <f t="shared" si="4"/>
        <v>7.0799999999999995E-3</v>
      </c>
      <c r="Y20" s="94">
        <f t="shared" si="5"/>
        <v>1.9470000000000001E-2</v>
      </c>
      <c r="Z20" s="94">
        <f t="shared" si="6"/>
        <v>3.3629999999999993E-2</v>
      </c>
      <c r="AA20" s="94">
        <f t="shared" si="7"/>
        <v>2.9429200000000004</v>
      </c>
      <c r="AB20" s="94">
        <f t="shared" si="8"/>
        <v>8.0930300000000006</v>
      </c>
      <c r="AC20" s="94">
        <f t="shared" si="9"/>
        <v>13.978870000000001</v>
      </c>
      <c r="AJ20" s="18"/>
      <c r="AK20">
        <v>39</v>
      </c>
      <c r="AL20" s="34">
        <f t="shared" si="10"/>
        <v>4.4520547945205479E-3</v>
      </c>
      <c r="AM20" s="34">
        <f t="shared" si="0"/>
        <v>0.9955479452054794</v>
      </c>
      <c r="AN20" s="94">
        <f t="shared" si="11"/>
        <v>1.3102041095890412E-2</v>
      </c>
      <c r="AO20" s="94">
        <f t="shared" si="12"/>
        <v>6.551020547945206E-3</v>
      </c>
      <c r="AP20" s="94">
        <f t="shared" si="13"/>
        <v>2.9363689794520549</v>
      </c>
      <c r="AQ20" s="27"/>
      <c r="AR20" s="27"/>
      <c r="AS20" s="94">
        <f t="shared" si="14"/>
        <v>3.6030613013698636E-2</v>
      </c>
      <c r="AT20" s="94">
        <f t="shared" si="15"/>
        <v>1.8015306506849318E-2</v>
      </c>
      <c r="AU20" s="27">
        <f t="shared" si="16"/>
        <v>8.0750146934931504</v>
      </c>
      <c r="AV20" s="27"/>
      <c r="AW20" s="27"/>
      <c r="AX20" s="94">
        <f t="shared" si="17"/>
        <v>6.2234695205479452E-2</v>
      </c>
      <c r="AY20" s="94">
        <f t="shared" si="18"/>
        <v>3.1117347602739726E-2</v>
      </c>
      <c r="AZ20" s="27">
        <f t="shared" si="19"/>
        <v>13.947752652397259</v>
      </c>
      <c r="BA20" s="27"/>
      <c r="BB20" s="27"/>
      <c r="BC20" s="18"/>
      <c r="BG20" s="3"/>
      <c r="BJ20" s="3"/>
      <c r="BM20" s="3"/>
      <c r="BP20" s="117"/>
      <c r="BS20" s="107"/>
      <c r="BV20" s="107"/>
      <c r="BY20" s="107"/>
      <c r="CC20" s="117"/>
      <c r="CF20" s="27"/>
      <c r="CG20" s="27"/>
      <c r="CH20" s="27"/>
      <c r="CI20" s="27"/>
      <c r="CJ20" s="27"/>
      <c r="CK20" s="27"/>
      <c r="CL20" s="27"/>
      <c r="CM20" s="27"/>
      <c r="CN20" s="27"/>
      <c r="CO20" s="27"/>
      <c r="CP20" s="27"/>
      <c r="CQ20" s="27"/>
      <c r="CR20" s="27"/>
      <c r="CS20" s="27"/>
      <c r="CT20" s="27"/>
      <c r="CU20" s="27"/>
      <c r="CV20" s="27"/>
      <c r="CW20" s="27"/>
      <c r="CX20" s="117"/>
      <c r="DA20" s="27"/>
      <c r="DB20" s="27"/>
      <c r="DC20" s="27"/>
      <c r="DD20" s="27"/>
      <c r="DE20" s="27"/>
      <c r="DF20" s="27"/>
      <c r="DG20" s="27"/>
      <c r="DH20" s="27"/>
      <c r="DI20" s="27"/>
      <c r="DJ20" s="27"/>
      <c r="DK20" s="27"/>
      <c r="DL20" s="27"/>
      <c r="DM20" s="27"/>
      <c r="DN20" s="27"/>
      <c r="DO20" s="27"/>
      <c r="DP20" s="27"/>
      <c r="DQ20" s="27"/>
      <c r="DR20" s="27"/>
      <c r="DS20" s="121"/>
      <c r="DW20" s="3"/>
      <c r="DY20" s="38"/>
      <c r="DZ20" s="55"/>
      <c r="EA20" s="38"/>
      <c r="EB20" s="38"/>
      <c r="EC20" s="121"/>
      <c r="EG20" s="3"/>
      <c r="EI20" s="38"/>
      <c r="EJ20" s="55"/>
      <c r="EK20" s="38"/>
      <c r="EL20" s="198"/>
      <c r="EP20" s="3"/>
      <c r="ER20" s="38"/>
      <c r="ES20" s="55"/>
      <c r="ET20" s="38"/>
      <c r="EU20" s="198"/>
    </row>
    <row r="21" spans="1:151" x14ac:dyDescent="0.2">
      <c r="A21" s="3" t="s">
        <v>43</v>
      </c>
      <c r="B21">
        <v>1760</v>
      </c>
      <c r="C21">
        <v>7</v>
      </c>
      <c r="D21">
        <v>0.78</v>
      </c>
      <c r="F21" t="s">
        <v>44</v>
      </c>
      <c r="G21" t="s">
        <v>30</v>
      </c>
      <c r="H21" s="20"/>
      <c r="I21" s="21"/>
      <c r="J21">
        <v>7</v>
      </c>
      <c r="K21">
        <v>0.04</v>
      </c>
      <c r="L21">
        <v>0.11</v>
      </c>
      <c r="M21">
        <v>0.19</v>
      </c>
      <c r="N21">
        <v>0.78</v>
      </c>
      <c r="O21" s="27">
        <f t="shared" si="2"/>
        <v>0.21840000000000004</v>
      </c>
      <c r="P21" s="27">
        <f t="shared" si="20"/>
        <v>0.60060000000000002</v>
      </c>
      <c r="Q21" s="27">
        <f t="shared" si="3"/>
        <v>1.0374000000000001</v>
      </c>
      <c r="R21" s="27"/>
      <c r="S21" s="27"/>
      <c r="T21" s="27"/>
      <c r="U21" s="18"/>
      <c r="V21">
        <v>2.3999999999999998E-3</v>
      </c>
      <c r="W21">
        <v>0.99760000000000004</v>
      </c>
      <c r="X21" s="94">
        <f t="shared" si="4"/>
        <v>5.2416000000000008E-4</v>
      </c>
      <c r="Y21" s="94">
        <f t="shared" si="5"/>
        <v>1.44144E-3</v>
      </c>
      <c r="Z21" s="94">
        <f t="shared" si="6"/>
        <v>2.4897600000000002E-3</v>
      </c>
      <c r="AA21" s="94">
        <f t="shared" si="7"/>
        <v>0.21787584000000004</v>
      </c>
      <c r="AB21" s="94">
        <f t="shared" si="8"/>
        <v>0.59915856000000001</v>
      </c>
      <c r="AC21" s="94">
        <f t="shared" si="9"/>
        <v>1.0349102400000001</v>
      </c>
      <c r="AJ21" s="18"/>
      <c r="AK21">
        <v>2027</v>
      </c>
      <c r="AL21" s="34">
        <f t="shared" si="10"/>
        <v>0.23139269406392693</v>
      </c>
      <c r="AM21" s="34">
        <f t="shared" si="0"/>
        <v>0.76860730593607307</v>
      </c>
      <c r="AN21" s="94">
        <f t="shared" si="11"/>
        <v>5.0414877589041104E-2</v>
      </c>
      <c r="AO21" s="94">
        <f t="shared" si="12"/>
        <v>2.5207438794520552E-2</v>
      </c>
      <c r="AP21" s="94">
        <f t="shared" si="13"/>
        <v>0.19266840120547951</v>
      </c>
      <c r="AQ21" s="27"/>
      <c r="AR21" s="27"/>
      <c r="AS21" s="94">
        <f t="shared" si="14"/>
        <v>0.13864091336986301</v>
      </c>
      <c r="AT21" s="94">
        <f t="shared" si="15"/>
        <v>6.9320456684931503E-2</v>
      </c>
      <c r="AU21" s="27">
        <f t="shared" si="16"/>
        <v>0.52983810331506853</v>
      </c>
      <c r="AV21" s="27"/>
      <c r="AW21" s="27"/>
      <c r="AX21" s="94">
        <f t="shared" si="17"/>
        <v>0.23947066854794521</v>
      </c>
      <c r="AY21" s="94">
        <f t="shared" si="18"/>
        <v>0.11973533427397261</v>
      </c>
      <c r="AZ21" s="27">
        <f t="shared" si="19"/>
        <v>0.91517490572602755</v>
      </c>
      <c r="BA21" s="27"/>
      <c r="BB21" s="27"/>
      <c r="BC21" s="18"/>
      <c r="BG21" s="3"/>
      <c r="BJ21" s="3"/>
      <c r="BM21" s="3"/>
      <c r="BP21" s="117"/>
      <c r="BS21" s="107"/>
      <c r="BV21" s="107"/>
      <c r="BY21" s="107"/>
      <c r="CC21" s="117"/>
      <c r="CF21" s="27"/>
      <c r="CG21" s="27"/>
      <c r="CH21" s="27"/>
      <c r="CI21" s="27"/>
      <c r="CJ21" s="27"/>
      <c r="CK21" s="27"/>
      <c r="CL21" s="27"/>
      <c r="CM21" s="27"/>
      <c r="CN21" s="27"/>
      <c r="CO21" s="27"/>
      <c r="CP21" s="27"/>
      <c r="CQ21" s="27"/>
      <c r="CR21" s="27"/>
      <c r="CS21" s="27"/>
      <c r="CT21" s="27"/>
      <c r="CU21" s="27"/>
      <c r="CV21" s="27"/>
      <c r="CW21" s="27"/>
      <c r="CX21" s="117"/>
      <c r="DA21" s="27"/>
      <c r="DB21" s="27"/>
      <c r="DC21" s="27"/>
      <c r="DD21" s="27"/>
      <c r="DE21" s="27"/>
      <c r="DF21" s="27"/>
      <c r="DG21" s="27"/>
      <c r="DH21" s="27"/>
      <c r="DI21" s="27"/>
      <c r="DJ21" s="27"/>
      <c r="DK21" s="27"/>
      <c r="DL21" s="27"/>
      <c r="DM21" s="27"/>
      <c r="DN21" s="27"/>
      <c r="DO21" s="27"/>
      <c r="DP21" s="27"/>
      <c r="DQ21" s="27"/>
      <c r="DR21" s="27"/>
      <c r="DS21" s="121"/>
      <c r="DW21" s="3"/>
      <c r="DY21" s="38"/>
      <c r="DZ21" s="55"/>
      <c r="EA21" s="38"/>
      <c r="EB21" s="38"/>
      <c r="EC21" s="121"/>
      <c r="EG21" s="3"/>
      <c r="EI21" s="38"/>
      <c r="EJ21" s="55"/>
      <c r="EK21" s="38"/>
      <c r="EL21" s="198"/>
      <c r="EP21" s="3"/>
      <c r="ER21" s="38"/>
      <c r="ES21" s="55"/>
      <c r="ET21" s="38"/>
      <c r="EU21" s="198"/>
    </row>
    <row r="22" spans="1:151" x14ac:dyDescent="0.2">
      <c r="A22" s="3" t="s">
        <v>45</v>
      </c>
      <c r="B22">
        <v>1760</v>
      </c>
      <c r="C22">
        <v>7</v>
      </c>
      <c r="D22">
        <v>14.26</v>
      </c>
      <c r="F22" t="s">
        <v>44</v>
      </c>
      <c r="G22" t="s">
        <v>30</v>
      </c>
      <c r="H22" s="20"/>
      <c r="I22" s="21"/>
      <c r="J22">
        <v>7</v>
      </c>
      <c r="K22">
        <v>0.04</v>
      </c>
      <c r="L22">
        <v>0.11</v>
      </c>
      <c r="M22">
        <v>0.19</v>
      </c>
      <c r="N22">
        <v>14.26</v>
      </c>
      <c r="O22" s="27">
        <f t="shared" si="2"/>
        <v>3.9928000000000003</v>
      </c>
      <c r="P22" s="27">
        <f t="shared" si="20"/>
        <v>10.9802</v>
      </c>
      <c r="Q22" s="27">
        <f t="shared" si="3"/>
        <v>18.965800000000002</v>
      </c>
      <c r="R22" s="27"/>
      <c r="S22" s="27"/>
      <c r="T22" s="27"/>
      <c r="U22" s="18"/>
      <c r="V22">
        <v>2.3999999999999998E-3</v>
      </c>
      <c r="W22">
        <v>0.99760000000000004</v>
      </c>
      <c r="X22" s="94">
        <f t="shared" si="4"/>
        <v>9.5827199999999994E-3</v>
      </c>
      <c r="Y22" s="94">
        <f t="shared" si="5"/>
        <v>2.6352479999999998E-2</v>
      </c>
      <c r="Z22" s="94">
        <f t="shared" si="6"/>
        <v>4.5517919999999996E-2</v>
      </c>
      <c r="AA22" s="94">
        <f t="shared" si="7"/>
        <v>3.9832172800000003</v>
      </c>
      <c r="AB22" s="94">
        <f t="shared" si="8"/>
        <v>10.95384752</v>
      </c>
      <c r="AC22" s="94">
        <f t="shared" si="9"/>
        <v>18.920282080000003</v>
      </c>
      <c r="AJ22" s="18"/>
      <c r="AK22">
        <v>1086</v>
      </c>
      <c r="AL22" s="34">
        <f>$AK22/8760</f>
        <v>0.12397260273972603</v>
      </c>
      <c r="AM22" s="34">
        <f t="shared" si="0"/>
        <v>0.87602739726027401</v>
      </c>
      <c r="AN22" s="94">
        <f t="shared" si="11"/>
        <v>0.49380981347945213</v>
      </c>
      <c r="AO22" s="94">
        <f t="shared" si="12"/>
        <v>0.24690490673972607</v>
      </c>
      <c r="AP22" s="94">
        <f t="shared" si="13"/>
        <v>3.7363123732602745</v>
      </c>
      <c r="AQ22" s="27"/>
      <c r="AR22" s="27"/>
      <c r="AS22" s="94">
        <f t="shared" si="14"/>
        <v>1.3579769870684932</v>
      </c>
      <c r="AT22" s="94">
        <f t="shared" si="15"/>
        <v>0.67898849353424662</v>
      </c>
      <c r="AU22" s="27">
        <f t="shared" si="16"/>
        <v>10.274859026465753</v>
      </c>
      <c r="AV22" s="27"/>
      <c r="AW22" s="27"/>
      <c r="AX22" s="94">
        <f t="shared" si="17"/>
        <v>2.3455966140273978</v>
      </c>
      <c r="AY22" s="94">
        <f t="shared" si="18"/>
        <v>1.1727983070136989</v>
      </c>
      <c r="AZ22" s="27">
        <f t="shared" si="19"/>
        <v>17.747483772986307</v>
      </c>
      <c r="BA22" s="27"/>
      <c r="BB22" s="27"/>
      <c r="BC22" s="18"/>
      <c r="BG22" s="3"/>
      <c r="BJ22" s="3"/>
      <c r="BM22" s="3"/>
      <c r="BP22" s="117"/>
      <c r="BS22" s="107"/>
      <c r="BV22" s="107"/>
      <c r="BY22" s="107"/>
      <c r="CC22" s="117"/>
      <c r="CF22" s="27"/>
      <c r="CG22" s="27"/>
      <c r="CH22" s="27"/>
      <c r="CI22" s="27"/>
      <c r="CJ22" s="27"/>
      <c r="CK22" s="27"/>
      <c r="CL22" s="27"/>
      <c r="CM22" s="27"/>
      <c r="CN22" s="27"/>
      <c r="CO22" s="27"/>
      <c r="CP22" s="27"/>
      <c r="CQ22" s="27"/>
      <c r="CR22" s="27"/>
      <c r="CS22" s="27"/>
      <c r="CT22" s="27"/>
      <c r="CU22" s="27"/>
      <c r="CV22" s="27"/>
      <c r="CW22" s="27"/>
      <c r="CX22" s="117"/>
      <c r="DA22" s="27"/>
      <c r="DB22" s="27"/>
      <c r="DC22" s="27"/>
      <c r="DD22" s="27"/>
      <c r="DE22" s="27"/>
      <c r="DF22" s="27"/>
      <c r="DG22" s="27"/>
      <c r="DH22" s="27"/>
      <c r="DI22" s="27"/>
      <c r="DJ22" s="27"/>
      <c r="DK22" s="27"/>
      <c r="DL22" s="27"/>
      <c r="DM22" s="27"/>
      <c r="DN22" s="27"/>
      <c r="DO22" s="27"/>
      <c r="DP22" s="27"/>
      <c r="DQ22" s="27"/>
      <c r="DR22" s="27"/>
      <c r="DS22" s="121"/>
      <c r="DW22" s="3"/>
      <c r="DY22" s="38"/>
      <c r="DZ22" s="55"/>
      <c r="EA22" s="38"/>
      <c r="EB22" s="38"/>
      <c r="EC22" s="121"/>
      <c r="EG22" s="3"/>
      <c r="EI22" s="38"/>
      <c r="EJ22" s="55"/>
      <c r="EK22" s="38"/>
      <c r="EL22" s="198"/>
      <c r="EP22" s="3"/>
      <c r="ER22" s="38"/>
      <c r="ES22" s="55"/>
      <c r="ET22" s="38"/>
      <c r="EU22" s="198"/>
    </row>
    <row r="23" spans="1:151" x14ac:dyDescent="0.2">
      <c r="A23" s="3"/>
      <c r="E23" s="251"/>
      <c r="H23" s="20"/>
      <c r="I23" s="21"/>
      <c r="U23" s="18"/>
      <c r="AJ23" s="18"/>
      <c r="BC23" s="18"/>
      <c r="BG23" s="3"/>
      <c r="BJ23" s="3"/>
      <c r="BM23" s="3"/>
      <c r="BP23" s="117"/>
      <c r="BS23" s="107"/>
      <c r="BV23" s="107"/>
      <c r="BY23" s="107"/>
      <c r="CC23" s="117"/>
      <c r="CF23" s="27"/>
      <c r="CG23" s="27"/>
      <c r="CH23" s="27"/>
      <c r="CI23" s="27"/>
      <c r="CJ23" s="27"/>
      <c r="CK23" s="27"/>
      <c r="CL23" s="27"/>
      <c r="CM23" s="27"/>
      <c r="CN23" s="27"/>
      <c r="CO23" s="27"/>
      <c r="CP23" s="27"/>
      <c r="CQ23" s="27"/>
      <c r="CR23" s="27"/>
      <c r="CS23" s="27"/>
      <c r="CT23" s="27"/>
      <c r="CU23" s="27"/>
      <c r="CV23" s="27"/>
      <c r="CW23" s="27"/>
      <c r="CX23" s="117"/>
      <c r="DA23" s="27"/>
      <c r="DB23" s="27"/>
      <c r="DC23" s="27"/>
      <c r="DD23" s="27"/>
      <c r="DE23" s="27"/>
      <c r="DF23" s="27"/>
      <c r="DG23" s="27"/>
      <c r="DH23" s="27"/>
      <c r="DI23" s="27"/>
      <c r="DJ23" s="27"/>
      <c r="DK23" s="27"/>
      <c r="DL23" s="27"/>
      <c r="DM23" s="27"/>
      <c r="DN23" s="27"/>
      <c r="DO23" s="27"/>
      <c r="DP23" s="27"/>
      <c r="DQ23" s="27"/>
      <c r="DR23" s="27"/>
      <c r="DS23" s="121"/>
      <c r="DW23" s="3"/>
      <c r="DY23" s="38"/>
      <c r="DZ23" s="55"/>
      <c r="EA23" s="38"/>
      <c r="EB23" s="38"/>
      <c r="EC23" s="121"/>
      <c r="EG23" s="3"/>
      <c r="EI23" s="38"/>
      <c r="EJ23" s="55"/>
      <c r="EK23" s="38"/>
      <c r="EL23" s="198"/>
      <c r="EP23" s="3"/>
      <c r="ER23" s="38"/>
      <c r="ES23" s="55"/>
      <c r="ET23" s="38"/>
      <c r="EU23" s="198"/>
    </row>
    <row r="24" spans="1:151" ht="19" x14ac:dyDescent="0.25">
      <c r="A24" s="24" t="s">
        <v>134</v>
      </c>
      <c r="B24" s="11"/>
      <c r="C24" s="11"/>
      <c r="D24" s="11"/>
      <c r="E24" s="11"/>
      <c r="F24" s="11"/>
      <c r="G24" s="11"/>
      <c r="H24" s="20"/>
      <c r="I24" s="21"/>
      <c r="J24" s="11"/>
      <c r="K24" s="11"/>
      <c r="L24" s="11"/>
      <c r="M24" s="11"/>
      <c r="N24" s="11"/>
      <c r="O24" s="11"/>
      <c r="P24" s="11"/>
      <c r="Q24" s="11"/>
      <c r="R24" s="11"/>
      <c r="S24" s="11"/>
      <c r="T24" s="11"/>
      <c r="U24" s="18"/>
      <c r="AJ24" s="18"/>
      <c r="AK24" s="11"/>
      <c r="AL24" s="11"/>
      <c r="AM24" s="11"/>
      <c r="AN24" s="11"/>
      <c r="AO24" s="11"/>
      <c r="AP24" s="11"/>
      <c r="AQ24" s="11"/>
      <c r="AR24" s="11"/>
      <c r="AS24" s="11"/>
      <c r="AT24" s="11"/>
      <c r="AU24" s="11"/>
      <c r="AV24" s="11"/>
      <c r="AW24" s="11"/>
      <c r="AX24" s="11"/>
      <c r="AY24" s="11"/>
      <c r="AZ24" s="11"/>
      <c r="BA24" s="11"/>
      <c r="BB24" s="11"/>
      <c r="BC24" s="18"/>
      <c r="BD24" s="11"/>
      <c r="BE24" s="11"/>
      <c r="BF24" s="11"/>
      <c r="BG24" s="48"/>
      <c r="BH24" s="11"/>
      <c r="BI24" s="11"/>
      <c r="BJ24" s="48"/>
      <c r="BK24" s="11"/>
      <c r="BL24" s="11"/>
      <c r="BM24" s="48"/>
      <c r="BN24" s="11"/>
      <c r="BO24" s="11"/>
      <c r="BP24" s="117"/>
      <c r="BQ24" s="48"/>
      <c r="BR24" s="11"/>
      <c r="BS24" s="125"/>
      <c r="BT24" s="11"/>
      <c r="BU24" s="11"/>
      <c r="BV24" s="125"/>
      <c r="BW24" s="11"/>
      <c r="BX24" s="11"/>
      <c r="BY24" s="125"/>
      <c r="BZ24" s="11"/>
      <c r="CA24" s="11"/>
      <c r="CB24" s="11"/>
      <c r="CC24" s="117"/>
      <c r="CD24" s="48"/>
      <c r="CE24" s="125"/>
      <c r="CF24" s="139"/>
      <c r="CG24" s="139"/>
      <c r="CH24" s="139"/>
      <c r="CI24" s="139"/>
      <c r="CJ24" s="139"/>
      <c r="CK24" s="174"/>
      <c r="CL24" s="139"/>
      <c r="CM24" s="139"/>
      <c r="CN24" s="139"/>
      <c r="CO24" s="139"/>
      <c r="CP24" s="139"/>
      <c r="CQ24" s="174"/>
      <c r="CR24" s="139"/>
      <c r="CS24" s="139"/>
      <c r="CT24" s="139"/>
      <c r="CU24" s="139"/>
      <c r="CV24" s="139"/>
      <c r="CW24" s="139"/>
      <c r="CX24" s="117"/>
      <c r="CY24" s="139"/>
      <c r="CZ24" s="139"/>
      <c r="DA24" s="139"/>
      <c r="DB24" s="139"/>
      <c r="DC24" s="139"/>
      <c r="DD24" s="139"/>
      <c r="DE24" s="139"/>
      <c r="DF24" s="139"/>
      <c r="DG24" s="139"/>
      <c r="DH24" s="139"/>
      <c r="DI24" s="139"/>
      <c r="DJ24" s="139"/>
      <c r="DK24" s="139"/>
      <c r="DL24" s="139"/>
      <c r="DM24" s="139"/>
      <c r="DN24" s="139"/>
      <c r="DO24" s="139"/>
      <c r="DP24" s="139"/>
      <c r="DQ24" s="139"/>
      <c r="DR24" s="139"/>
      <c r="DS24" s="121"/>
      <c r="DT24" s="11"/>
      <c r="DU24" s="11"/>
      <c r="DV24" s="39"/>
      <c r="DW24" s="48"/>
      <c r="DX24" s="11"/>
      <c r="DY24" s="39"/>
      <c r="DZ24" s="56"/>
      <c r="EA24" s="39"/>
      <c r="EB24" s="39"/>
      <c r="EC24" s="121"/>
      <c r="ED24" s="11"/>
      <c r="EE24" s="11"/>
      <c r="EF24" s="39"/>
      <c r="EG24" s="48"/>
      <c r="EH24" s="11"/>
      <c r="EI24" s="39"/>
      <c r="EJ24" s="56"/>
      <c r="EK24" s="39"/>
      <c r="EL24" s="194"/>
      <c r="EM24" s="11"/>
      <c r="EN24" s="11"/>
      <c r="EO24" s="39"/>
      <c r="EP24" s="48"/>
      <c r="EQ24" s="11"/>
      <c r="ER24" s="39"/>
      <c r="ES24" s="56"/>
      <c r="ET24" s="39"/>
      <c r="EU24" s="194"/>
    </row>
    <row r="25" spans="1:151" x14ac:dyDescent="0.2">
      <c r="A25" s="3" t="s">
        <v>47</v>
      </c>
      <c r="B25">
        <v>1362</v>
      </c>
      <c r="C25">
        <v>101</v>
      </c>
      <c r="D25">
        <v>14.28</v>
      </c>
      <c r="E25">
        <v>0.57999999999999996</v>
      </c>
      <c r="F25" s="2">
        <f t="shared" ref="F25:F36" si="21">B25*E25</f>
        <v>789.95999999999992</v>
      </c>
      <c r="G25" t="s">
        <v>11</v>
      </c>
      <c r="H25" s="20"/>
      <c r="I25" s="21"/>
      <c r="J25">
        <v>790</v>
      </c>
      <c r="K25">
        <v>0.04</v>
      </c>
      <c r="L25">
        <v>0.11</v>
      </c>
      <c r="M25">
        <v>0.19</v>
      </c>
      <c r="N25">
        <v>14.28</v>
      </c>
      <c r="O25" s="27">
        <f t="shared" ref="O25:O50" si="22">$J25*$K25*$N25</f>
        <v>451.24799999999999</v>
      </c>
      <c r="P25" s="27">
        <f t="shared" ref="P25:P50" si="23">J25*L25*N25</f>
        <v>1240.932</v>
      </c>
      <c r="Q25" s="27">
        <f t="shared" ref="Q25:Q50" si="24">$J25*$M25*$N25</f>
        <v>2143.4279999999999</v>
      </c>
      <c r="R25" s="27">
        <f>$O25+$O26+$O27+$O28+$O29+$O30+$O31+$O32+$O33+$O34+$O35+$O36+$O37+$O38+$O39+$O40+$O41+$O42+$O43+$O44+$O45+$O46+$O47+$O48+$O49+$O50</f>
        <v>1789.2008000000003</v>
      </c>
      <c r="S25" s="27">
        <f>P25+P26+P27+P28+P29+P30+P31+P32+P33+P34+P35+P36+P37+P38+P39+P40+P41+P42+P43+P44+P45+P46+P47+P48+P49+P50</f>
        <v>4920.3022000000001</v>
      </c>
      <c r="T25" s="27">
        <f>Q25+Q26+Q27+Q28+Q29+Q30+Q31+Q32+Q33+Q34+Q35+Q36+Q37+Q38+Q39+Q40+Q41+Q42+Q43+Q44+Q45+Q46+Q47+Q48+Q49+Q50</f>
        <v>8498.7037999999993</v>
      </c>
      <c r="U25" s="18"/>
      <c r="V25">
        <v>2.3999999999999998E-3</v>
      </c>
      <c r="W25">
        <v>0.99760000000000004</v>
      </c>
      <c r="X25" s="94">
        <f t="shared" ref="X25:X50" si="25" xml:space="preserve"> O25 * V25</f>
        <v>1.0829951999999998</v>
      </c>
      <c r="Y25" s="94">
        <f t="shared" ref="Y25:Y50" si="26" xml:space="preserve"> P25 * V25</f>
        <v>2.9782367999999999</v>
      </c>
      <c r="Z25" s="94">
        <f t="shared" ref="Z25:Z50" si="27" xml:space="preserve"> Q25 * V25</f>
        <v>5.1442271999999996</v>
      </c>
      <c r="AA25" s="94">
        <f t="shared" ref="AA25:AA50" si="28" xml:space="preserve"> O25 * W25</f>
        <v>450.16500480000002</v>
      </c>
      <c r="AB25" s="94">
        <f t="shared" ref="AB25:AB50" si="29" xml:space="preserve"> P25 * W25</f>
        <v>1237.9537632000001</v>
      </c>
      <c r="AC25" s="94">
        <f t="shared" ref="AC25:AC50" si="30" xml:space="preserve"> Q25 * W25</f>
        <v>2138.2837728</v>
      </c>
      <c r="AD25" s="27">
        <f xml:space="preserve"> R25 * V25</f>
        <v>4.29408192</v>
      </c>
      <c r="AE25" s="27">
        <f xml:space="preserve"> S25 * V25</f>
        <v>11.808725279999999</v>
      </c>
      <c r="AF25" s="27">
        <f xml:space="preserve"> T25 * V25</f>
        <v>20.396889119999997</v>
      </c>
      <c r="AG25" s="27">
        <f xml:space="preserve"> R25 * W25</f>
        <v>1784.9067180800005</v>
      </c>
      <c r="AH25" s="27">
        <f xml:space="preserve"> S25 * W25</f>
        <v>4908.4934747200004</v>
      </c>
      <c r="AI25" s="27">
        <f xml:space="preserve"> T25  * W25</f>
        <v>8478.3069108799991</v>
      </c>
      <c r="AJ25" s="18"/>
      <c r="AK25">
        <v>426</v>
      </c>
      <c r="AL25" s="34">
        <f>$AK25/8760</f>
        <v>4.8630136986301371E-2</v>
      </c>
      <c r="AM25" s="34">
        <f t="shared" ref="AM25:AM35" si="31">1- AL25</f>
        <v>0.95136986301369864</v>
      </c>
      <c r="AN25" s="94">
        <f t="shared" ref="AN25:AN50" si="32" xml:space="preserve"> AA25*AL25</f>
        <v>21.891585849863016</v>
      </c>
      <c r="AO25" s="94">
        <f t="shared" ref="AO25:AO50" si="33" xml:space="preserve"> AN25 / 2</f>
        <v>10.945792924931508</v>
      </c>
      <c r="AP25" s="94">
        <f t="shared" ref="AP25:AP35" si="34">$AA25*$AM25 + AO25</f>
        <v>439.21921187506848</v>
      </c>
      <c r="AQ25" s="27">
        <f xml:space="preserve"> SUM(AO25:AO50)</f>
        <v>19.152681153899547</v>
      </c>
      <c r="AR25" s="27">
        <f xml:space="preserve"> SUM(AP25:AP50)</f>
        <v>1765.7540369261001</v>
      </c>
      <c r="AS25" s="94">
        <f t="shared" ref="AS25:AS35" si="35">$AL25*$AB25</f>
        <v>60.201861087123298</v>
      </c>
      <c r="AT25" s="94">
        <f t="shared" ref="AT25:AT50" si="36" xml:space="preserve"> AS25 / 2</f>
        <v>30.100930543561649</v>
      </c>
      <c r="AU25" s="27">
        <f t="shared" ref="AU25:AU50" si="37">$AM25*$AB25 + AT25</f>
        <v>1207.8528326564385</v>
      </c>
      <c r="AV25" s="27">
        <f>SUM(AT25:AT50)</f>
        <v>52.669873173223749</v>
      </c>
      <c r="AW25" s="27">
        <f>$AU25+$AU26+$AU27+$AU28+$AU29+$AU30+$AU31+$AU32+$AU33+$AU34+$AU35+$AU36+$AU37+$AU38+$AU39+$AU40+$AU41+$AU42+$AU43+$AU44+$AU45+$AU46+$AU47+$AU$48+$AU49+$AU50</f>
        <v>4855.8236015467774</v>
      </c>
      <c r="AX25" s="94">
        <f t="shared" ref="AX25:AX50" si="38">$AL25*$AC25</f>
        <v>103.98503278684932</v>
      </c>
      <c r="AY25" s="94">
        <f t="shared" ref="AY25:AY50" si="39" xml:space="preserve"> AX25 / 2</f>
        <v>51.992516393424658</v>
      </c>
      <c r="AZ25" s="27">
        <f t="shared" ref="AZ25:AZ50" si="40">$AM25*$AC25 + AY25</f>
        <v>2086.291256406575</v>
      </c>
      <c r="BA25" s="27">
        <f>SUM(AY25:AY50)</f>
        <v>90.97523548102285</v>
      </c>
      <c r="BB25" s="27">
        <f>$AZ25+$AZ26+$AZ27+$AZ28+$AZ29+$AZ30+$AZ31+$AZ32+$AZ33+$AZ34+$AZ35+$AZ36+$AZ37+$AZ38+$AZ39+$AZ40+$AZ41+$AZ42+$AZ43+$AZ44+$AZ45+$AZ46+$AZ47+$AZ48+$AZ49+$AZ50</f>
        <v>8387.3316753989748</v>
      </c>
      <c r="BC25" s="18"/>
      <c r="BD25" s="34">
        <v>0.1152</v>
      </c>
      <c r="BE25" s="34">
        <v>5.4199999999999998E-2</v>
      </c>
      <c r="BF25">
        <v>2.3E-2</v>
      </c>
      <c r="BG25" s="47">
        <f>$AR25*$BD25</f>
        <v>203.41486505388673</v>
      </c>
      <c r="BH25" s="27">
        <f>$AR25*$BE25</f>
        <v>95.70386880139462</v>
      </c>
      <c r="BI25" s="27">
        <f>$AR25*$BF25</f>
        <v>40.612342849300298</v>
      </c>
      <c r="BJ25" s="47">
        <f>$AW25*$BD25</f>
        <v>559.3908788981887</v>
      </c>
      <c r="BK25" s="27">
        <f>$AW25*$BE25</f>
        <v>263.18563920383531</v>
      </c>
      <c r="BL25" s="27">
        <f>$AW25*$BF25</f>
        <v>111.68394283557588</v>
      </c>
      <c r="BM25" s="47">
        <f>$BB25*$BD25</f>
        <v>966.22060900596182</v>
      </c>
      <c r="BN25" s="27">
        <f>$BB25*$BE25</f>
        <v>454.59337680662441</v>
      </c>
      <c r="BO25" s="27">
        <f>$BB25*$BF25</f>
        <v>192.90862853417642</v>
      </c>
      <c r="BP25" s="117"/>
      <c r="BQ25" s="34">
        <f xml:space="preserve"> 1 - BD25</f>
        <v>0.88480000000000003</v>
      </c>
      <c r="BR25" s="34">
        <f xml:space="preserve"> 1 - BE25</f>
        <v>0.94579999999999997</v>
      </c>
      <c r="BS25">
        <f xml:space="preserve"> 1 - BF25</f>
        <v>0.97699999999999998</v>
      </c>
      <c r="BT25" s="47">
        <f xml:space="preserve"> AR25 * BQ25</f>
        <v>1562.3391718722135</v>
      </c>
      <c r="BU25" s="27">
        <f xml:space="preserve"> AR25 * BR25</f>
        <v>1670.0501681247054</v>
      </c>
      <c r="BV25" s="27">
        <f xml:space="preserve"> AR25 * BS25</f>
        <v>1725.1416940767997</v>
      </c>
      <c r="BW25" s="47">
        <f xml:space="preserve"> AW25 * BQ25</f>
        <v>4296.4327226485884</v>
      </c>
      <c r="BX25" s="27">
        <f xml:space="preserve"> AW25 * BR25</f>
        <v>4592.637962342942</v>
      </c>
      <c r="BY25" s="27">
        <f xml:space="preserve"> AW25 * BS25</f>
        <v>4744.1396587112013</v>
      </c>
      <c r="BZ25" s="47">
        <f xml:space="preserve"> BB25 * BQ25</f>
        <v>7421.1110663930131</v>
      </c>
      <c r="CA25" s="27">
        <f xml:space="preserve"> BB25 * BR25</f>
        <v>7932.7382985923505</v>
      </c>
      <c r="CB25" s="27">
        <f xml:space="preserve"> BB25 * BS25</f>
        <v>8194.4230468647984</v>
      </c>
      <c r="CC25" s="117"/>
      <c r="CD25">
        <f xml:space="preserve"> 1 - 0.32</f>
        <v>0.67999999999999994</v>
      </c>
      <c r="CE25">
        <f>1-0.68</f>
        <v>0.31999999999999995</v>
      </c>
      <c r="CF25" s="27">
        <f xml:space="preserve"> BT25 * CD25</f>
        <v>1062.390636873105</v>
      </c>
      <c r="CG25" s="27">
        <f xml:space="preserve"> BT25 * CE25</f>
        <v>499.94853499910823</v>
      </c>
      <c r="CH25" s="27">
        <f xml:space="preserve"> BU25 * CD25</f>
        <v>1135.6341143247996</v>
      </c>
      <c r="CI25" s="27">
        <f xml:space="preserve"> BU25 * CE25</f>
        <v>534.41605379990563</v>
      </c>
      <c r="CJ25" s="27">
        <f xml:space="preserve"> BV25 * CD25</f>
        <v>1173.0963519722236</v>
      </c>
      <c r="CK25" s="27">
        <f xml:space="preserve"> BV25 * CE25</f>
        <v>552.04534210457587</v>
      </c>
      <c r="CL25" s="27">
        <f xml:space="preserve"> BW25 * CD25</f>
        <v>2921.5742514010399</v>
      </c>
      <c r="CM25" s="27">
        <f xml:space="preserve"> BW25 * CE25</f>
        <v>1374.8584712475481</v>
      </c>
      <c r="CN25" s="27">
        <f xml:space="preserve"> BX25 * CD25</f>
        <v>3122.9938143932004</v>
      </c>
      <c r="CO25" s="27">
        <f xml:space="preserve"> BX25 * CE25</f>
        <v>1469.6441479497412</v>
      </c>
      <c r="CP25" s="27">
        <f xml:space="preserve"> BY25 * CD25</f>
        <v>3226.0149679236165</v>
      </c>
      <c r="CQ25" s="27">
        <f xml:space="preserve"> BY25 * CE25</f>
        <v>1518.1246907875841</v>
      </c>
      <c r="CR25" s="27">
        <f xml:space="preserve"> BZ25 * CD25</f>
        <v>5046.355525147248</v>
      </c>
      <c r="CS25" s="27">
        <f xml:space="preserve"> BZ25 * CE25</f>
        <v>2374.7555412457637</v>
      </c>
      <c r="CT25" s="27">
        <f xml:space="preserve"> CA25 * CD25</f>
        <v>5394.2620430427978</v>
      </c>
      <c r="CU25" s="27">
        <f xml:space="preserve"> CA25 * CE25</f>
        <v>2538.4762555495518</v>
      </c>
      <c r="CV25" s="27">
        <f xml:space="preserve"> CB25 * CD25</f>
        <v>5572.2076718680628</v>
      </c>
      <c r="CW25" s="27">
        <f xml:space="preserve"> CB25 * CE25</f>
        <v>2622.2153749967351</v>
      </c>
      <c r="CX25" s="117"/>
      <c r="CY25">
        <f xml:space="preserve"> 1 - 0.01</f>
        <v>0.99</v>
      </c>
      <c r="CZ25">
        <v>0.75</v>
      </c>
      <c r="DA25" s="27">
        <f xml:space="preserve"> CF25 * CY25</f>
        <v>1051.766730504374</v>
      </c>
      <c r="DB25" s="27">
        <f xml:space="preserve"> CH25 * CY25</f>
        <v>1124.2777731815515</v>
      </c>
      <c r="DC25" s="27">
        <f xml:space="preserve"> CJ25 * CY25</f>
        <v>1161.3653884525013</v>
      </c>
      <c r="DD25" s="27">
        <f xml:space="preserve"> CL25 * CY25</f>
        <v>2892.3585088870295</v>
      </c>
      <c r="DE25" s="27">
        <f xml:space="preserve"> CN25 * CY25</f>
        <v>3091.7638762492684</v>
      </c>
      <c r="DF25" s="27">
        <f xml:space="preserve"> CP25 * CY25</f>
        <v>3193.7548182443802</v>
      </c>
      <c r="DG25" s="27">
        <f xml:space="preserve"> CR25 * CY25</f>
        <v>4995.8919698957752</v>
      </c>
      <c r="DH25" s="27">
        <f xml:space="preserve"> CT25 * CY25</f>
        <v>5340.3194226123696</v>
      </c>
      <c r="DI25" s="27">
        <f xml:space="preserve"> CV25 * CY25</f>
        <v>5516.4855951493819</v>
      </c>
      <c r="DJ25" s="27">
        <f xml:space="preserve"> CF25 * CZ25</f>
        <v>796.79297765482875</v>
      </c>
      <c r="DK25" s="27">
        <f xml:space="preserve"> CH25 * CZ25</f>
        <v>851.72558574359971</v>
      </c>
      <c r="DL25" s="27">
        <f xml:space="preserve"> CJ25 * CZ25</f>
        <v>879.8222639791677</v>
      </c>
      <c r="DM25" s="27">
        <f xml:space="preserve"> CL25 * CZ25</f>
        <v>2191.1806885507799</v>
      </c>
      <c r="DN25" s="27">
        <f xml:space="preserve"> CN25 * CZ25</f>
        <v>2342.2453607949001</v>
      </c>
      <c r="DO25" s="27">
        <f xml:space="preserve"> CP25 * CZ25</f>
        <v>2419.5112259427124</v>
      </c>
      <c r="DP25" s="27">
        <f xml:space="preserve"> CR25 * CZ25</f>
        <v>3784.766643860436</v>
      </c>
      <c r="DQ25" s="27">
        <f xml:space="preserve"> CT25 * CZ25</f>
        <v>4045.6965322820984</v>
      </c>
      <c r="DR25" s="27">
        <f xml:space="preserve"> CV25 * CZ25</f>
        <v>4179.1557539010473</v>
      </c>
      <c r="DS25" s="121"/>
      <c r="DT25" s="27">
        <f>$BG25+$AQ25 +AD25</f>
        <v>226.86162812778628</v>
      </c>
      <c r="DU25" s="27">
        <f>$BH25+$AQ25 + AD25</f>
        <v>119.15063187529417</v>
      </c>
      <c r="DV25" s="27">
        <f>$BI25+$AQ25 + AD25</f>
        <v>64.059105923199837</v>
      </c>
      <c r="DW25" s="47">
        <f>$BJ25+$AV25 + AE5</f>
        <v>613.39428999141251</v>
      </c>
      <c r="DX25" s="27">
        <f>$BK25+$AV25 +AE25</f>
        <v>327.66423765705906</v>
      </c>
      <c r="DY25" s="42">
        <f>$BL25+$AV25 +AE25</f>
        <v>176.16254128879964</v>
      </c>
      <c r="DZ25" s="54">
        <f>$BA25+$BM25 +AF25</f>
        <v>1077.5927336069847</v>
      </c>
      <c r="EA25" s="42">
        <f>$BA25+$BN25 +AF25</f>
        <v>565.96550140764725</v>
      </c>
      <c r="EB25" s="42">
        <f>$BA25+$BO25 +AF25</f>
        <v>304.28075313519923</v>
      </c>
      <c r="EC25" s="121"/>
      <c r="ED25" s="27">
        <f xml:space="preserve"> DJ25 + DT25</f>
        <v>1023.654605782615</v>
      </c>
      <c r="EE25" s="27">
        <f xml:space="preserve"> DK25 + DU25</f>
        <v>970.87621761889386</v>
      </c>
      <c r="EF25" s="27">
        <f>DL25 + DV25</f>
        <v>943.88136990236751</v>
      </c>
      <c r="EG25" s="47">
        <f t="shared" ref="EG25:EL25" si="41" xml:space="preserve"> DM25 + DW25</f>
        <v>2804.5749785421922</v>
      </c>
      <c r="EH25" s="27">
        <f t="shared" si="41"/>
        <v>2669.909598451959</v>
      </c>
      <c r="EI25" s="42">
        <f t="shared" si="41"/>
        <v>2595.6737672315121</v>
      </c>
      <c r="EJ25" s="54">
        <f t="shared" si="41"/>
        <v>4862.3593774674209</v>
      </c>
      <c r="EK25" s="42">
        <f t="shared" si="41"/>
        <v>4611.6620336897458</v>
      </c>
      <c r="EL25" s="197">
        <f t="shared" si="41"/>
        <v>4483.4365070362464</v>
      </c>
      <c r="EM25" s="27">
        <f xml:space="preserve"> DT25 + DA25</f>
        <v>1278.6283586321601</v>
      </c>
      <c r="EN25" s="27">
        <f xml:space="preserve"> DB25 + DU25</f>
        <v>1243.4284050568458</v>
      </c>
      <c r="EO25" s="27">
        <f xml:space="preserve"> DV25 + DC25</f>
        <v>1225.4244943757012</v>
      </c>
      <c r="EP25" s="47">
        <f xml:space="preserve"> DD25 + DW25</f>
        <v>3505.7527988784423</v>
      </c>
      <c r="EQ25" s="27">
        <f xml:space="preserve"> DE25 + DX25</f>
        <v>3419.4281139063273</v>
      </c>
      <c r="ER25" s="42">
        <f xml:space="preserve"> DF25 + DY25</f>
        <v>3369.9173595331799</v>
      </c>
      <c r="ES25" s="54">
        <f xml:space="preserve"> DG25 + DZ25</f>
        <v>6073.4847035027597</v>
      </c>
      <c r="ET25" s="42">
        <f xml:space="preserve"> DH25 +EA25</f>
        <v>5906.2849240200167</v>
      </c>
      <c r="EU25" s="197">
        <f xml:space="preserve"> DI25 + EB25</f>
        <v>5820.766348284581</v>
      </c>
    </row>
    <row r="26" spans="1:151" x14ac:dyDescent="0.2">
      <c r="A26" s="3" t="s">
        <v>48</v>
      </c>
      <c r="B26">
        <v>2369</v>
      </c>
      <c r="C26">
        <v>1327</v>
      </c>
      <c r="D26">
        <v>0.63</v>
      </c>
      <c r="E26">
        <v>0.32</v>
      </c>
      <c r="F26" s="2">
        <f t="shared" si="21"/>
        <v>758.08</v>
      </c>
      <c r="G26" t="s">
        <v>11</v>
      </c>
      <c r="H26" s="20"/>
      <c r="I26" s="21"/>
      <c r="J26">
        <v>758</v>
      </c>
      <c r="K26">
        <v>0.04</v>
      </c>
      <c r="L26">
        <v>0.11</v>
      </c>
      <c r="M26">
        <v>0.19</v>
      </c>
      <c r="N26">
        <v>0.63</v>
      </c>
      <c r="O26" s="27">
        <f t="shared" si="22"/>
        <v>19.101600000000001</v>
      </c>
      <c r="P26" s="27">
        <f t="shared" si="23"/>
        <v>52.529399999999995</v>
      </c>
      <c r="Q26" s="27">
        <f t="shared" si="24"/>
        <v>90.732600000000005</v>
      </c>
      <c r="R26" s="27"/>
      <c r="S26" s="27"/>
      <c r="T26" s="27"/>
      <c r="U26" s="18"/>
      <c r="V26">
        <v>2.3999999999999998E-3</v>
      </c>
      <c r="W26">
        <v>0.99760000000000004</v>
      </c>
      <c r="X26" s="94">
        <f t="shared" si="25"/>
        <v>4.5843839999999997E-2</v>
      </c>
      <c r="Y26" s="94">
        <f t="shared" si="26"/>
        <v>0.12607055999999997</v>
      </c>
      <c r="Z26" s="94">
        <f t="shared" si="27"/>
        <v>0.21775823999999999</v>
      </c>
      <c r="AA26" s="94">
        <f t="shared" si="28"/>
        <v>19.055756160000001</v>
      </c>
      <c r="AB26" s="94">
        <f t="shared" si="29"/>
        <v>52.40332944</v>
      </c>
      <c r="AC26" s="94">
        <f t="shared" si="30"/>
        <v>90.51484176000001</v>
      </c>
      <c r="AJ26" s="18"/>
      <c r="AK26">
        <v>471</v>
      </c>
      <c r="AL26" s="34">
        <f t="shared" ref="AL26:AL50" si="42">$AK26/8760</f>
        <v>5.3767123287671234E-2</v>
      </c>
      <c r="AM26" s="34">
        <f t="shared" si="31"/>
        <v>0.94623287671232881</v>
      </c>
      <c r="AN26" s="94">
        <f t="shared" si="32"/>
        <v>1.0245731907945206</v>
      </c>
      <c r="AO26" s="94">
        <f t="shared" si="33"/>
        <v>0.51228659539726029</v>
      </c>
      <c r="AP26" s="94">
        <f t="shared" si="34"/>
        <v>18.543469564602741</v>
      </c>
      <c r="AQ26" s="27"/>
      <c r="AR26" s="27"/>
      <c r="AS26" s="94">
        <f t="shared" si="35"/>
        <v>2.8175762746849315</v>
      </c>
      <c r="AT26" s="94">
        <f t="shared" si="36"/>
        <v>1.4087881373424658</v>
      </c>
      <c r="AU26" s="27">
        <f t="shared" si="37"/>
        <v>50.994541302657538</v>
      </c>
      <c r="AW26" s="27"/>
      <c r="AX26" s="94">
        <f t="shared" si="38"/>
        <v>4.8667226562739732</v>
      </c>
      <c r="AY26" s="94">
        <f t="shared" si="39"/>
        <v>2.4333613281369866</v>
      </c>
      <c r="AZ26" s="27">
        <f t="shared" si="40"/>
        <v>88.081480431863028</v>
      </c>
      <c r="BA26" s="27"/>
      <c r="BB26" s="27"/>
      <c r="BC26" s="18"/>
      <c r="BP26" s="117"/>
      <c r="CC26" s="117"/>
      <c r="CF26" s="27"/>
      <c r="CG26" s="27"/>
      <c r="CH26" s="27"/>
      <c r="CI26" s="27"/>
      <c r="CJ26" s="27"/>
      <c r="CK26" s="27"/>
      <c r="CL26" s="27"/>
      <c r="CM26" s="27"/>
      <c r="CN26" s="27"/>
      <c r="CO26" s="27"/>
      <c r="CP26" s="27"/>
      <c r="CQ26" s="27"/>
      <c r="CR26" s="27"/>
      <c r="CS26" s="27"/>
      <c r="CT26" s="27"/>
      <c r="CU26" s="27"/>
      <c r="CV26" s="27"/>
      <c r="CW26" s="27"/>
      <c r="CX26" s="117"/>
      <c r="DY26" s="38"/>
      <c r="DZ26" s="38"/>
      <c r="EA26" s="38"/>
      <c r="EB26" s="38"/>
      <c r="EC26" s="38"/>
      <c r="ED26" s="38"/>
      <c r="EE26" s="38"/>
      <c r="EF26" s="38"/>
      <c r="EG26" s="38"/>
    </row>
    <row r="27" spans="1:151" x14ac:dyDescent="0.2">
      <c r="A27" s="3" t="s">
        <v>49</v>
      </c>
      <c r="B27">
        <v>1522</v>
      </c>
      <c r="C27">
        <v>1386</v>
      </c>
      <c r="D27">
        <v>1.43</v>
      </c>
      <c r="E27">
        <v>0.42299999999999999</v>
      </c>
      <c r="F27" s="2">
        <f t="shared" si="21"/>
        <v>643.80599999999993</v>
      </c>
      <c r="G27" t="s">
        <v>11</v>
      </c>
      <c r="H27" s="20"/>
      <c r="I27" s="21"/>
      <c r="J27">
        <v>644</v>
      </c>
      <c r="K27">
        <v>0.04</v>
      </c>
      <c r="L27">
        <v>0.11</v>
      </c>
      <c r="M27">
        <v>0.19</v>
      </c>
      <c r="N27">
        <v>1.43</v>
      </c>
      <c r="O27" s="27">
        <f t="shared" si="22"/>
        <v>36.836800000000004</v>
      </c>
      <c r="P27" s="27">
        <f t="shared" si="23"/>
        <v>101.30119999999999</v>
      </c>
      <c r="Q27" s="27">
        <f t="shared" si="24"/>
        <v>174.97479999999999</v>
      </c>
      <c r="R27" s="27"/>
      <c r="S27" s="27"/>
      <c r="T27" s="27"/>
      <c r="U27" s="18"/>
      <c r="V27">
        <v>2.3999999999999998E-3</v>
      </c>
      <c r="W27">
        <v>0.99760000000000004</v>
      </c>
      <c r="X27" s="94">
        <f t="shared" si="25"/>
        <v>8.8408319999999999E-2</v>
      </c>
      <c r="Y27" s="94">
        <f t="shared" si="26"/>
        <v>0.24312287999999996</v>
      </c>
      <c r="Z27" s="94">
        <f t="shared" si="27"/>
        <v>0.41993951999999996</v>
      </c>
      <c r="AA27" s="94">
        <f t="shared" si="28"/>
        <v>36.748391680000005</v>
      </c>
      <c r="AB27" s="94">
        <f t="shared" si="29"/>
        <v>101.05807711999999</v>
      </c>
      <c r="AC27" s="94">
        <f t="shared" si="30"/>
        <v>174.55486048</v>
      </c>
      <c r="AJ27" s="18"/>
      <c r="AK27">
        <v>0</v>
      </c>
      <c r="AL27" s="34">
        <f t="shared" si="42"/>
        <v>0</v>
      </c>
      <c r="AM27" s="34">
        <f t="shared" si="31"/>
        <v>1</v>
      </c>
      <c r="AN27" s="94">
        <f t="shared" si="32"/>
        <v>0</v>
      </c>
      <c r="AO27" s="94">
        <f t="shared" si="33"/>
        <v>0</v>
      </c>
      <c r="AP27" s="94">
        <f t="shared" si="34"/>
        <v>36.748391680000005</v>
      </c>
      <c r="AQ27" s="27"/>
      <c r="AR27" s="27"/>
      <c r="AS27" s="94">
        <f t="shared" si="35"/>
        <v>0</v>
      </c>
      <c r="AT27" s="94">
        <f t="shared" si="36"/>
        <v>0</v>
      </c>
      <c r="AU27" s="27">
        <f t="shared" si="37"/>
        <v>101.05807711999999</v>
      </c>
      <c r="AV27" s="27"/>
      <c r="AW27" s="27"/>
      <c r="AX27" s="94">
        <f t="shared" si="38"/>
        <v>0</v>
      </c>
      <c r="AY27" s="94">
        <f t="shared" si="39"/>
        <v>0</v>
      </c>
      <c r="AZ27" s="27">
        <f t="shared" si="40"/>
        <v>174.55486048</v>
      </c>
      <c r="BA27" s="27"/>
      <c r="BB27" s="27"/>
      <c r="BC27" s="18"/>
      <c r="BP27" s="117"/>
      <c r="CC27" s="117"/>
      <c r="CF27" s="27"/>
      <c r="CG27" s="27"/>
      <c r="CH27" s="27"/>
      <c r="CI27" s="27"/>
      <c r="CJ27" s="27"/>
      <c r="CK27" s="27"/>
      <c r="CL27" s="27"/>
      <c r="CM27" s="27"/>
      <c r="CN27" s="27"/>
      <c r="CO27" s="27"/>
      <c r="CP27" s="27"/>
      <c r="CQ27" s="27"/>
      <c r="CR27" s="27"/>
      <c r="CS27" s="27"/>
      <c r="CT27" s="27"/>
      <c r="CU27" s="27"/>
      <c r="CV27" s="27"/>
      <c r="CW27" s="27"/>
      <c r="CX27" s="117"/>
      <c r="DY27" s="38"/>
      <c r="DZ27" s="38"/>
      <c r="EA27" s="38"/>
      <c r="EB27" s="38"/>
      <c r="EC27" s="38"/>
      <c r="ED27" s="38"/>
      <c r="EE27" s="38"/>
      <c r="EF27" s="38"/>
      <c r="EG27" s="38"/>
    </row>
    <row r="28" spans="1:151" x14ac:dyDescent="0.2">
      <c r="A28" s="3" t="s">
        <v>50</v>
      </c>
      <c r="B28">
        <v>1607</v>
      </c>
      <c r="C28">
        <v>1723</v>
      </c>
      <c r="D28">
        <v>0.67</v>
      </c>
      <c r="E28">
        <v>0.66</v>
      </c>
      <c r="F28" s="2">
        <f t="shared" si="21"/>
        <v>1060.6200000000001</v>
      </c>
      <c r="G28" t="s">
        <v>11</v>
      </c>
      <c r="H28" s="20"/>
      <c r="I28" s="21"/>
      <c r="J28">
        <v>1061</v>
      </c>
      <c r="K28">
        <v>0.04</v>
      </c>
      <c r="L28">
        <v>0.11</v>
      </c>
      <c r="M28">
        <v>0.19</v>
      </c>
      <c r="N28">
        <v>0.67</v>
      </c>
      <c r="O28" s="27">
        <f t="shared" si="22"/>
        <v>28.434799999999999</v>
      </c>
      <c r="P28" s="27">
        <f t="shared" si="23"/>
        <v>78.195700000000002</v>
      </c>
      <c r="Q28" s="27">
        <f t="shared" si="24"/>
        <v>135.06530000000001</v>
      </c>
      <c r="R28" s="27"/>
      <c r="S28" s="27"/>
      <c r="T28" s="27"/>
      <c r="U28" s="18"/>
      <c r="V28">
        <v>2.3999999999999998E-3</v>
      </c>
      <c r="W28">
        <v>0.99760000000000004</v>
      </c>
      <c r="X28" s="94">
        <f t="shared" si="25"/>
        <v>6.8243519999999988E-2</v>
      </c>
      <c r="Y28" s="94">
        <f t="shared" si="26"/>
        <v>0.18766967999999998</v>
      </c>
      <c r="Z28" s="94">
        <f t="shared" si="27"/>
        <v>0.32415672000000001</v>
      </c>
      <c r="AA28" s="94">
        <f t="shared" si="28"/>
        <v>28.36655648</v>
      </c>
      <c r="AB28" s="94">
        <f t="shared" si="29"/>
        <v>78.008030320000003</v>
      </c>
      <c r="AC28" s="94">
        <f t="shared" si="30"/>
        <v>134.74114328000002</v>
      </c>
      <c r="AJ28" s="18"/>
      <c r="AK28">
        <v>121</v>
      </c>
      <c r="AL28" s="34">
        <f t="shared" si="42"/>
        <v>1.3812785388127854E-2</v>
      </c>
      <c r="AM28" s="34">
        <f t="shared" si="31"/>
        <v>0.9861872146118722</v>
      </c>
      <c r="AN28" s="94">
        <f t="shared" si="32"/>
        <v>0.39182115685844748</v>
      </c>
      <c r="AO28" s="94">
        <f t="shared" si="33"/>
        <v>0.19591057842922374</v>
      </c>
      <c r="AP28" s="94">
        <f t="shared" si="34"/>
        <v>28.170645901570779</v>
      </c>
      <c r="AQ28" s="27"/>
      <c r="AR28" s="27"/>
      <c r="AS28" s="94">
        <f t="shared" si="35"/>
        <v>1.0775081813607306</v>
      </c>
      <c r="AT28" s="94">
        <f t="shared" si="36"/>
        <v>0.53875409068036528</v>
      </c>
      <c r="AU28" s="27">
        <f t="shared" si="37"/>
        <v>77.469276229319647</v>
      </c>
      <c r="AV28" s="27"/>
      <c r="AW28" s="27"/>
      <c r="AX28" s="94">
        <f t="shared" si="38"/>
        <v>1.8611504950776259</v>
      </c>
      <c r="AY28" s="94">
        <f t="shared" si="39"/>
        <v>0.93057524753881293</v>
      </c>
      <c r="AZ28" s="27">
        <f t="shared" si="40"/>
        <v>133.81056803246122</v>
      </c>
      <c r="BA28" s="27"/>
      <c r="BB28" s="27"/>
      <c r="BC28" s="18"/>
      <c r="BP28" s="117"/>
      <c r="CC28" s="117"/>
      <c r="CD28" s="172" t="s">
        <v>289</v>
      </c>
      <c r="CE28" s="172"/>
      <c r="CF28" s="173"/>
      <c r="CG28" s="173"/>
      <c r="CH28" s="173"/>
      <c r="CI28" s="173"/>
      <c r="CJ28" s="173"/>
      <c r="CK28" s="173"/>
      <c r="CL28" s="173"/>
      <c r="CM28" s="173"/>
      <c r="CN28" s="173"/>
      <c r="CO28" s="173"/>
      <c r="CP28" s="173"/>
      <c r="CQ28" s="173"/>
      <c r="CR28" s="173"/>
      <c r="CS28" s="173"/>
      <c r="CT28" s="27"/>
      <c r="CU28" s="27"/>
      <c r="CV28" s="27"/>
      <c r="CW28" s="27"/>
      <c r="CX28" s="117"/>
      <c r="DY28" s="38"/>
      <c r="DZ28" s="38"/>
      <c r="EA28" s="38"/>
      <c r="EB28" s="38"/>
      <c r="EC28" s="38"/>
      <c r="ED28" s="38"/>
      <c r="EE28" s="38"/>
      <c r="EF28" s="38"/>
      <c r="EG28" s="38"/>
    </row>
    <row r="29" spans="1:151" ht="17" x14ac:dyDescent="0.2">
      <c r="A29" s="3" t="s">
        <v>51</v>
      </c>
      <c r="B29">
        <v>1212</v>
      </c>
      <c r="C29">
        <v>741</v>
      </c>
      <c r="D29">
        <v>6.44</v>
      </c>
      <c r="E29">
        <v>0.95</v>
      </c>
      <c r="F29" s="2">
        <f t="shared" si="21"/>
        <v>1151.3999999999999</v>
      </c>
      <c r="G29" t="s">
        <v>11</v>
      </c>
      <c r="H29" s="20"/>
      <c r="I29" s="21"/>
      <c r="J29">
        <v>1151</v>
      </c>
      <c r="K29">
        <v>0.04</v>
      </c>
      <c r="L29">
        <v>0.11</v>
      </c>
      <c r="M29">
        <v>0.19</v>
      </c>
      <c r="N29">
        <v>6.44</v>
      </c>
      <c r="O29" s="27">
        <f t="shared" si="22"/>
        <v>296.49760000000003</v>
      </c>
      <c r="P29" s="27">
        <f t="shared" si="23"/>
        <v>815.36840000000007</v>
      </c>
      <c r="Q29" s="27">
        <f t="shared" si="24"/>
        <v>1408.3636000000001</v>
      </c>
      <c r="R29" s="27"/>
      <c r="S29" s="27"/>
      <c r="T29" s="27"/>
      <c r="U29" s="18"/>
      <c r="V29">
        <v>2.3999999999999998E-3</v>
      </c>
      <c r="W29">
        <v>0.99760000000000004</v>
      </c>
      <c r="X29" s="94">
        <f t="shared" si="25"/>
        <v>0.71159424000000004</v>
      </c>
      <c r="Y29" s="94">
        <f t="shared" si="26"/>
        <v>1.95688416</v>
      </c>
      <c r="Z29" s="94">
        <f t="shared" si="27"/>
        <v>3.3800726399999999</v>
      </c>
      <c r="AA29" s="94">
        <f t="shared" si="28"/>
        <v>295.78600576000002</v>
      </c>
      <c r="AB29" s="94">
        <f t="shared" si="29"/>
        <v>813.41151584000011</v>
      </c>
      <c r="AC29" s="94">
        <f t="shared" si="30"/>
        <v>1404.9835273600002</v>
      </c>
      <c r="AJ29" s="18"/>
      <c r="AK29">
        <v>2</v>
      </c>
      <c r="AL29" s="34">
        <f t="shared" si="42"/>
        <v>2.2831050228310502E-4</v>
      </c>
      <c r="AM29" s="34">
        <f t="shared" si="31"/>
        <v>0.99977168949771689</v>
      </c>
      <c r="AN29" s="94">
        <f t="shared" si="32"/>
        <v>6.7531051543379003E-2</v>
      </c>
      <c r="AO29" s="94">
        <f t="shared" si="33"/>
        <v>3.3765525771689502E-2</v>
      </c>
      <c r="AP29" s="94">
        <f t="shared" si="34"/>
        <v>295.75224023422834</v>
      </c>
      <c r="AQ29" s="27"/>
      <c r="AR29" s="27"/>
      <c r="AS29" s="94">
        <f t="shared" si="35"/>
        <v>0.18571039174429227</v>
      </c>
      <c r="AT29" s="94">
        <f t="shared" si="36"/>
        <v>9.2855195872146135E-2</v>
      </c>
      <c r="AU29" s="27">
        <f t="shared" si="37"/>
        <v>813.31866064412793</v>
      </c>
      <c r="AV29" s="27"/>
      <c r="AW29" s="27"/>
      <c r="AX29" s="94">
        <f t="shared" si="38"/>
        <v>0.32077249483105025</v>
      </c>
      <c r="AY29" s="94">
        <f t="shared" si="39"/>
        <v>0.16038624741552512</v>
      </c>
      <c r="AZ29" s="27">
        <f t="shared" si="40"/>
        <v>1404.8231411125846</v>
      </c>
      <c r="BA29" s="27"/>
      <c r="BB29" s="27"/>
      <c r="BC29" s="18"/>
      <c r="BP29" s="117"/>
      <c r="CC29" s="117"/>
      <c r="CD29" s="171" t="s">
        <v>93</v>
      </c>
      <c r="CF29" s="27"/>
      <c r="CG29" s="27"/>
      <c r="CH29" s="27"/>
      <c r="CI29" s="27"/>
      <c r="CJ29" s="27"/>
      <c r="CK29" s="27"/>
      <c r="CL29" s="27"/>
      <c r="CM29" s="27"/>
      <c r="CN29" s="27"/>
      <c r="CO29" s="27"/>
      <c r="CP29" s="27"/>
      <c r="CQ29" s="27"/>
      <c r="CR29" s="27"/>
      <c r="CS29" s="27"/>
      <c r="CT29" s="27"/>
      <c r="CU29" s="27"/>
      <c r="CV29" s="27"/>
      <c r="CW29" s="27"/>
      <c r="CX29" s="117"/>
      <c r="DY29" s="38"/>
      <c r="DZ29" s="38"/>
      <c r="EA29" s="38"/>
      <c r="EB29" s="38"/>
      <c r="EC29" s="38"/>
      <c r="ED29" s="38"/>
      <c r="EE29" s="38"/>
      <c r="EF29" s="38"/>
      <c r="EG29" s="38"/>
    </row>
    <row r="30" spans="1:151" x14ac:dyDescent="0.2">
      <c r="A30" s="3" t="s">
        <v>52</v>
      </c>
      <c r="B30">
        <v>1569</v>
      </c>
      <c r="C30">
        <v>87</v>
      </c>
      <c r="D30">
        <v>1.47</v>
      </c>
      <c r="E30">
        <v>0.21</v>
      </c>
      <c r="F30" s="2">
        <f t="shared" si="21"/>
        <v>329.49</v>
      </c>
      <c r="G30" t="s">
        <v>11</v>
      </c>
      <c r="H30" s="20"/>
      <c r="I30" s="21"/>
      <c r="J30">
        <v>329</v>
      </c>
      <c r="K30">
        <v>0.04</v>
      </c>
      <c r="L30">
        <v>0.11</v>
      </c>
      <c r="M30">
        <v>0.19</v>
      </c>
      <c r="N30">
        <v>1.47</v>
      </c>
      <c r="O30" s="27">
        <f t="shared" si="22"/>
        <v>19.345199999999998</v>
      </c>
      <c r="P30" s="27">
        <f t="shared" si="23"/>
        <v>53.199299999999994</v>
      </c>
      <c r="Q30" s="27">
        <f t="shared" si="24"/>
        <v>91.889699999999991</v>
      </c>
      <c r="R30" s="27"/>
      <c r="S30" s="27"/>
      <c r="T30" s="27"/>
      <c r="U30" s="18"/>
      <c r="V30">
        <v>2.3999999999999998E-3</v>
      </c>
      <c r="W30">
        <v>0.99760000000000004</v>
      </c>
      <c r="X30" s="94">
        <f t="shared" si="25"/>
        <v>4.6428479999999994E-2</v>
      </c>
      <c r="Y30" s="94">
        <f t="shared" si="26"/>
        <v>0.12767831999999998</v>
      </c>
      <c r="Z30" s="94">
        <f t="shared" si="27"/>
        <v>0.22053527999999994</v>
      </c>
      <c r="AA30" s="94">
        <f t="shared" si="28"/>
        <v>19.298771519999999</v>
      </c>
      <c r="AB30" s="94">
        <f t="shared" si="29"/>
        <v>53.071621679999993</v>
      </c>
      <c r="AC30" s="94">
        <f t="shared" si="30"/>
        <v>91.669164719999998</v>
      </c>
      <c r="AJ30" s="18"/>
      <c r="AK30">
        <v>0</v>
      </c>
      <c r="AL30" s="34">
        <f t="shared" si="42"/>
        <v>0</v>
      </c>
      <c r="AM30" s="34">
        <f t="shared" si="31"/>
        <v>1</v>
      </c>
      <c r="AN30" s="94">
        <f t="shared" si="32"/>
        <v>0</v>
      </c>
      <c r="AO30" s="94">
        <f t="shared" si="33"/>
        <v>0</v>
      </c>
      <c r="AP30" s="94">
        <f t="shared" si="34"/>
        <v>19.298771519999999</v>
      </c>
      <c r="AQ30" s="27"/>
      <c r="AR30" s="27"/>
      <c r="AS30" s="94">
        <f t="shared" si="35"/>
        <v>0</v>
      </c>
      <c r="AT30" s="94">
        <f t="shared" si="36"/>
        <v>0</v>
      </c>
      <c r="AU30" s="27">
        <f t="shared" si="37"/>
        <v>53.071621679999993</v>
      </c>
      <c r="AV30" s="27"/>
      <c r="AW30" s="27"/>
      <c r="AX30" s="94">
        <f t="shared" si="38"/>
        <v>0</v>
      </c>
      <c r="AY30" s="94">
        <f t="shared" si="39"/>
        <v>0</v>
      </c>
      <c r="AZ30" s="27">
        <f t="shared" si="40"/>
        <v>91.669164719999998</v>
      </c>
      <c r="BA30" s="27"/>
      <c r="BB30" s="27"/>
      <c r="BC30" s="18"/>
      <c r="BP30" s="117"/>
      <c r="CX30" s="117"/>
      <c r="DY30" s="38"/>
      <c r="DZ30" s="38"/>
      <c r="EA30" s="38"/>
      <c r="EB30" s="38"/>
      <c r="EC30" s="38"/>
      <c r="ED30" s="38"/>
      <c r="EE30" s="38"/>
      <c r="EF30" s="38"/>
      <c r="EG30" s="38"/>
    </row>
    <row r="31" spans="1:151" x14ac:dyDescent="0.2">
      <c r="A31" s="3" t="s">
        <v>54</v>
      </c>
      <c r="B31">
        <v>1540</v>
      </c>
      <c r="C31">
        <v>570</v>
      </c>
      <c r="D31">
        <v>1.19</v>
      </c>
      <c r="E31">
        <v>0.15</v>
      </c>
      <c r="F31" s="2">
        <f t="shared" si="21"/>
        <v>231</v>
      </c>
      <c r="G31" t="s">
        <v>11</v>
      </c>
      <c r="H31" s="20"/>
      <c r="I31" s="21"/>
      <c r="J31">
        <v>231</v>
      </c>
      <c r="K31">
        <v>0.04</v>
      </c>
      <c r="L31">
        <v>0.11</v>
      </c>
      <c r="M31">
        <v>0.19</v>
      </c>
      <c r="N31">
        <v>1.19</v>
      </c>
      <c r="O31" s="27">
        <f t="shared" si="22"/>
        <v>10.9956</v>
      </c>
      <c r="P31" s="27">
        <f t="shared" si="23"/>
        <v>30.2379</v>
      </c>
      <c r="Q31" s="27">
        <f t="shared" si="24"/>
        <v>52.229099999999995</v>
      </c>
      <c r="R31" s="27"/>
      <c r="S31" s="27"/>
      <c r="T31" s="27"/>
      <c r="U31" s="18"/>
      <c r="V31">
        <v>2.3999999999999998E-3</v>
      </c>
      <c r="W31">
        <v>0.99760000000000004</v>
      </c>
      <c r="X31" s="94">
        <f t="shared" si="25"/>
        <v>2.6389439999999997E-2</v>
      </c>
      <c r="Y31" s="94">
        <f t="shared" si="26"/>
        <v>7.257095999999999E-2</v>
      </c>
      <c r="Z31" s="94">
        <f t="shared" si="27"/>
        <v>0.12534983999999999</v>
      </c>
      <c r="AA31" s="94">
        <f t="shared" si="28"/>
        <v>10.96921056</v>
      </c>
      <c r="AB31" s="94">
        <f t="shared" si="29"/>
        <v>30.16532904</v>
      </c>
      <c r="AC31" s="94">
        <f t="shared" si="30"/>
        <v>52.103750159999997</v>
      </c>
      <c r="AJ31" s="18"/>
      <c r="AK31">
        <v>19</v>
      </c>
      <c r="AL31" s="34">
        <f t="shared" si="42"/>
        <v>2.1689497716894978E-3</v>
      </c>
      <c r="AM31" s="34">
        <f t="shared" si="31"/>
        <v>0.99783105022831053</v>
      </c>
      <c r="AN31" s="94">
        <f t="shared" si="32"/>
        <v>2.379166673972603E-2</v>
      </c>
      <c r="AO31" s="94">
        <f t="shared" si="33"/>
        <v>1.1895833369863015E-2</v>
      </c>
      <c r="AP31" s="94">
        <f t="shared" si="34"/>
        <v>10.957314726630138</v>
      </c>
      <c r="AQ31" s="27"/>
      <c r="AR31" s="27"/>
      <c r="AS31" s="94">
        <f t="shared" si="35"/>
        <v>6.5427083534246575E-2</v>
      </c>
      <c r="AT31" s="94">
        <f t="shared" si="36"/>
        <v>3.2713541767123287E-2</v>
      </c>
      <c r="AU31" s="27">
        <f t="shared" si="37"/>
        <v>30.132615498232877</v>
      </c>
      <c r="AV31" s="27"/>
      <c r="AW31" s="27"/>
      <c r="AX31" s="94">
        <f t="shared" si="38"/>
        <v>0.11301041701369863</v>
      </c>
      <c r="AY31" s="94">
        <f t="shared" si="39"/>
        <v>5.6505208506849314E-2</v>
      </c>
      <c r="AZ31" s="27">
        <f t="shared" si="40"/>
        <v>52.047244951493148</v>
      </c>
      <c r="BA31" s="27"/>
      <c r="BB31" s="27"/>
      <c r="BC31" s="18"/>
      <c r="BP31" s="117"/>
      <c r="CX31" s="117"/>
      <c r="DY31" s="38"/>
      <c r="DZ31" s="38"/>
      <c r="EA31" s="38"/>
      <c r="EB31" s="38"/>
      <c r="EC31" s="38"/>
      <c r="ED31" s="38"/>
      <c r="EE31" s="38"/>
      <c r="EF31" s="38"/>
      <c r="EG31" s="38"/>
    </row>
    <row r="32" spans="1:151" x14ac:dyDescent="0.2">
      <c r="A32" s="3" t="s">
        <v>55</v>
      </c>
      <c r="B32">
        <v>1512</v>
      </c>
      <c r="C32">
        <v>1053</v>
      </c>
      <c r="D32">
        <v>0.46</v>
      </c>
      <c r="E32">
        <v>0.1</v>
      </c>
      <c r="F32" s="2">
        <f t="shared" si="21"/>
        <v>151.20000000000002</v>
      </c>
      <c r="G32" t="s">
        <v>11</v>
      </c>
      <c r="H32" s="20"/>
      <c r="I32" s="21"/>
      <c r="J32">
        <v>151</v>
      </c>
      <c r="K32">
        <v>0.04</v>
      </c>
      <c r="L32">
        <v>0.11</v>
      </c>
      <c r="M32">
        <v>0.19</v>
      </c>
      <c r="N32">
        <v>0.46</v>
      </c>
      <c r="O32" s="27">
        <f t="shared" si="22"/>
        <v>2.7784</v>
      </c>
      <c r="P32" s="27">
        <f t="shared" si="23"/>
        <v>7.6406000000000001</v>
      </c>
      <c r="Q32" s="27">
        <f t="shared" si="24"/>
        <v>13.197400000000002</v>
      </c>
      <c r="R32" s="27"/>
      <c r="S32" s="27"/>
      <c r="T32" s="27"/>
      <c r="U32" s="18"/>
      <c r="V32">
        <v>2.3999999999999998E-3</v>
      </c>
      <c r="W32">
        <v>0.99760000000000004</v>
      </c>
      <c r="X32" s="94">
        <f t="shared" si="25"/>
        <v>6.6681599999999994E-3</v>
      </c>
      <c r="Y32" s="94">
        <f t="shared" si="26"/>
        <v>1.833744E-2</v>
      </c>
      <c r="Z32" s="94">
        <f t="shared" si="27"/>
        <v>3.1673760000000002E-2</v>
      </c>
      <c r="AA32" s="94">
        <f t="shared" si="28"/>
        <v>2.7717318400000002</v>
      </c>
      <c r="AB32" s="94">
        <f t="shared" si="29"/>
        <v>7.6222625600000002</v>
      </c>
      <c r="AC32" s="94">
        <f t="shared" si="30"/>
        <v>13.165726240000001</v>
      </c>
      <c r="AJ32" s="18"/>
      <c r="AK32">
        <v>11</v>
      </c>
      <c r="AL32" s="34">
        <f t="shared" si="42"/>
        <v>1.2557077625570776E-3</v>
      </c>
      <c r="AM32" s="34">
        <f t="shared" si="31"/>
        <v>0.99874429223744288</v>
      </c>
      <c r="AN32" s="94">
        <f t="shared" si="32"/>
        <v>3.480485187214612E-3</v>
      </c>
      <c r="AO32" s="94">
        <f t="shared" si="33"/>
        <v>1.740242593607306E-3</v>
      </c>
      <c r="AP32" s="94">
        <f t="shared" si="34"/>
        <v>2.7699915974063929</v>
      </c>
      <c r="AQ32" s="27"/>
      <c r="AR32" s="27"/>
      <c r="AS32" s="94">
        <f t="shared" si="35"/>
        <v>9.5713342648401836E-3</v>
      </c>
      <c r="AT32" s="94">
        <f t="shared" si="36"/>
        <v>4.7856671324200918E-3</v>
      </c>
      <c r="AU32" s="27">
        <f t="shared" si="37"/>
        <v>7.6174768928675798</v>
      </c>
      <c r="AV32" s="27"/>
      <c r="AW32" s="27"/>
      <c r="AX32" s="94">
        <f t="shared" si="38"/>
        <v>1.6532304639269409E-2</v>
      </c>
      <c r="AY32" s="94">
        <f t="shared" si="39"/>
        <v>8.2661523196347047E-3</v>
      </c>
      <c r="AZ32" s="27">
        <f t="shared" si="40"/>
        <v>13.157460087680366</v>
      </c>
      <c r="BA32" s="27"/>
      <c r="BB32" s="27"/>
      <c r="BC32" s="18"/>
      <c r="BP32" s="117"/>
      <c r="CX32" s="117"/>
      <c r="DY32" s="38"/>
      <c r="DZ32" s="38"/>
      <c r="EA32" s="38"/>
      <c r="EB32" s="38"/>
      <c r="EC32" s="38"/>
      <c r="ED32" s="38"/>
      <c r="EE32" s="38"/>
      <c r="EF32" s="38"/>
      <c r="EG32" s="38"/>
    </row>
    <row r="33" spans="1:137" x14ac:dyDescent="0.2">
      <c r="A33" s="3" t="s">
        <v>56</v>
      </c>
      <c r="B33">
        <v>1568</v>
      </c>
      <c r="C33">
        <v>87</v>
      </c>
      <c r="D33">
        <v>0.66</v>
      </c>
      <c r="E33">
        <v>0.05</v>
      </c>
      <c r="F33" s="2">
        <f t="shared" si="21"/>
        <v>78.400000000000006</v>
      </c>
      <c r="G33" t="s">
        <v>11</v>
      </c>
      <c r="H33" s="20"/>
      <c r="I33" s="21"/>
      <c r="J33">
        <v>78</v>
      </c>
      <c r="K33">
        <v>0.04</v>
      </c>
      <c r="L33">
        <v>0.11</v>
      </c>
      <c r="M33">
        <v>0.19</v>
      </c>
      <c r="N33">
        <v>0.66</v>
      </c>
      <c r="O33" s="27">
        <f t="shared" si="22"/>
        <v>2.0592000000000001</v>
      </c>
      <c r="P33" s="27">
        <f t="shared" si="23"/>
        <v>5.6628000000000007</v>
      </c>
      <c r="Q33" s="27">
        <f t="shared" si="24"/>
        <v>9.7812000000000001</v>
      </c>
      <c r="R33" s="27"/>
      <c r="S33" s="27"/>
      <c r="T33" s="27"/>
      <c r="U33" s="18"/>
      <c r="V33">
        <v>2.3999999999999998E-3</v>
      </c>
      <c r="W33">
        <v>0.99760000000000004</v>
      </c>
      <c r="X33" s="94">
        <f t="shared" si="25"/>
        <v>4.9420799999999997E-3</v>
      </c>
      <c r="Y33" s="94">
        <f t="shared" si="26"/>
        <v>1.3590720000000001E-2</v>
      </c>
      <c r="Z33" s="94">
        <f t="shared" si="27"/>
        <v>2.3474879999999997E-2</v>
      </c>
      <c r="AA33" s="94">
        <f t="shared" si="28"/>
        <v>2.0542579200000004</v>
      </c>
      <c r="AB33" s="94">
        <f t="shared" si="29"/>
        <v>5.6492092800000009</v>
      </c>
      <c r="AC33" s="94">
        <f t="shared" si="30"/>
        <v>9.7577251199999999</v>
      </c>
      <c r="AJ33" s="18"/>
      <c r="AK33">
        <v>112</v>
      </c>
      <c r="AL33" s="34">
        <f t="shared" si="42"/>
        <v>1.2785388127853882E-2</v>
      </c>
      <c r="AM33" s="34">
        <f t="shared" si="31"/>
        <v>0.9872146118721461</v>
      </c>
      <c r="AN33" s="94">
        <f t="shared" si="32"/>
        <v>2.6264484821917816E-2</v>
      </c>
      <c r="AO33" s="94">
        <f t="shared" si="33"/>
        <v>1.3132242410958908E-2</v>
      </c>
      <c r="AP33" s="94">
        <f t="shared" si="34"/>
        <v>2.0411256775890414</v>
      </c>
      <c r="AQ33" s="27"/>
      <c r="AR33" s="27"/>
      <c r="AS33" s="94">
        <f t="shared" si="35"/>
        <v>7.2227333260273988E-2</v>
      </c>
      <c r="AT33" s="94">
        <f t="shared" si="36"/>
        <v>3.6113666630136994E-2</v>
      </c>
      <c r="AU33" s="27">
        <f t="shared" si="37"/>
        <v>5.6130956133698637</v>
      </c>
      <c r="AV33" s="27"/>
      <c r="AW33" s="27"/>
      <c r="AX33" s="94">
        <f t="shared" si="38"/>
        <v>0.12475630290410959</v>
      </c>
      <c r="AY33" s="94">
        <f t="shared" si="39"/>
        <v>6.2378151452054796E-2</v>
      </c>
      <c r="AZ33" s="27">
        <f t="shared" si="40"/>
        <v>9.6953469685479448</v>
      </c>
      <c r="BA33" s="27"/>
      <c r="BB33" s="27"/>
      <c r="BC33" s="18"/>
      <c r="BP33" s="117"/>
      <c r="CX33" s="117"/>
      <c r="DY33" s="38"/>
      <c r="DZ33" s="38"/>
      <c r="EA33" s="38"/>
      <c r="EB33" s="38"/>
      <c r="EC33" s="38"/>
      <c r="ED33" s="38"/>
      <c r="EE33" s="38"/>
      <c r="EF33" s="38"/>
      <c r="EG33" s="38"/>
    </row>
    <row r="34" spans="1:137" x14ac:dyDescent="0.2">
      <c r="A34" s="3" t="s">
        <v>53</v>
      </c>
      <c r="B34">
        <v>1540</v>
      </c>
      <c r="C34">
        <v>570</v>
      </c>
      <c r="D34">
        <v>1.23</v>
      </c>
      <c r="E34">
        <v>0.12</v>
      </c>
      <c r="F34" s="2">
        <f t="shared" si="21"/>
        <v>184.79999999999998</v>
      </c>
      <c r="G34" t="s">
        <v>11</v>
      </c>
      <c r="H34" s="20"/>
      <c r="I34" s="21"/>
      <c r="J34">
        <v>185</v>
      </c>
      <c r="K34">
        <v>0.04</v>
      </c>
      <c r="L34">
        <v>0.11</v>
      </c>
      <c r="M34">
        <v>0.19</v>
      </c>
      <c r="N34">
        <v>1.23</v>
      </c>
      <c r="O34" s="27">
        <f t="shared" si="22"/>
        <v>9.1020000000000003</v>
      </c>
      <c r="P34" s="27">
        <f t="shared" si="23"/>
        <v>25.0305</v>
      </c>
      <c r="Q34" s="27">
        <f t="shared" si="24"/>
        <v>43.234499999999997</v>
      </c>
      <c r="R34" s="27"/>
      <c r="S34" s="27"/>
      <c r="T34" s="27"/>
      <c r="U34" s="18"/>
      <c r="V34">
        <v>2.3999999999999998E-3</v>
      </c>
      <c r="W34">
        <v>0.99760000000000004</v>
      </c>
      <c r="X34" s="94">
        <f t="shared" si="25"/>
        <v>2.1844799999999998E-2</v>
      </c>
      <c r="Y34" s="94">
        <f t="shared" si="26"/>
        <v>6.0073199999999993E-2</v>
      </c>
      <c r="Z34" s="94">
        <f t="shared" si="27"/>
        <v>0.10376279999999999</v>
      </c>
      <c r="AA34" s="94">
        <f t="shared" si="28"/>
        <v>9.0801552000000001</v>
      </c>
      <c r="AB34" s="94">
        <f t="shared" si="29"/>
        <v>24.970426800000002</v>
      </c>
      <c r="AC34" s="94">
        <f t="shared" si="30"/>
        <v>43.130737199999999</v>
      </c>
      <c r="AJ34" s="18"/>
      <c r="AK34">
        <v>24</v>
      </c>
      <c r="AL34" s="34">
        <f t="shared" si="42"/>
        <v>2.7397260273972603E-3</v>
      </c>
      <c r="AM34" s="34">
        <f t="shared" si="31"/>
        <v>0.99726027397260275</v>
      </c>
      <c r="AN34" s="94">
        <f t="shared" si="32"/>
        <v>2.4877137534246575E-2</v>
      </c>
      <c r="AO34" s="94">
        <f t="shared" si="33"/>
        <v>1.2438568767123287E-2</v>
      </c>
      <c r="AP34" s="94">
        <f t="shared" si="34"/>
        <v>9.0677166312328765</v>
      </c>
      <c r="AQ34" s="27"/>
      <c r="AR34" s="27"/>
      <c r="AS34" s="94">
        <f t="shared" si="35"/>
        <v>6.8412128219178095E-2</v>
      </c>
      <c r="AT34" s="94">
        <f t="shared" si="36"/>
        <v>3.4206064109589047E-2</v>
      </c>
      <c r="AU34" s="27">
        <f t="shared" si="37"/>
        <v>24.936220735890416</v>
      </c>
      <c r="AV34" s="27"/>
      <c r="AW34" s="27"/>
      <c r="AX34" s="94">
        <f t="shared" si="38"/>
        <v>0.11816640328767122</v>
      </c>
      <c r="AY34" s="94">
        <f t="shared" si="39"/>
        <v>5.9083201643835612E-2</v>
      </c>
      <c r="AZ34" s="27">
        <f t="shared" si="40"/>
        <v>43.071653998356162</v>
      </c>
      <c r="BA34" s="27"/>
      <c r="BB34" s="27"/>
      <c r="BC34" s="18"/>
      <c r="BP34" s="117"/>
      <c r="CX34" s="117"/>
      <c r="DY34" s="38"/>
      <c r="DZ34" s="38"/>
      <c r="EA34" s="38"/>
      <c r="EB34" s="38"/>
      <c r="EC34" s="38"/>
      <c r="ED34" s="38"/>
      <c r="EE34" s="38"/>
      <c r="EF34" s="38"/>
      <c r="EG34" s="38"/>
    </row>
    <row r="35" spans="1:137" x14ac:dyDescent="0.2">
      <c r="A35" s="3" t="s">
        <v>57</v>
      </c>
      <c r="B35">
        <v>1927</v>
      </c>
      <c r="C35">
        <v>748</v>
      </c>
      <c r="D35">
        <v>1.35</v>
      </c>
      <c r="E35">
        <v>0.2</v>
      </c>
      <c r="F35" s="2">
        <f t="shared" si="21"/>
        <v>385.40000000000003</v>
      </c>
      <c r="G35" t="s">
        <v>11</v>
      </c>
      <c r="H35" s="20"/>
      <c r="I35" s="21"/>
      <c r="J35">
        <v>385</v>
      </c>
      <c r="K35">
        <v>0.04</v>
      </c>
      <c r="L35">
        <v>0.11</v>
      </c>
      <c r="M35">
        <v>0.19</v>
      </c>
      <c r="N35">
        <v>1.35</v>
      </c>
      <c r="O35" s="27">
        <f t="shared" si="22"/>
        <v>20.790000000000003</v>
      </c>
      <c r="P35" s="27">
        <f t="shared" si="23"/>
        <v>57.172500000000007</v>
      </c>
      <c r="Q35" s="27">
        <f t="shared" si="24"/>
        <v>98.752500000000012</v>
      </c>
      <c r="R35" s="27"/>
      <c r="S35" s="27"/>
      <c r="T35" s="27"/>
      <c r="U35" s="18"/>
      <c r="V35">
        <v>2.3999999999999998E-3</v>
      </c>
      <c r="W35">
        <v>0.99760000000000004</v>
      </c>
      <c r="X35" s="94">
        <f t="shared" si="25"/>
        <v>4.9896000000000003E-2</v>
      </c>
      <c r="Y35" s="94">
        <f t="shared" si="26"/>
        <v>0.137214</v>
      </c>
      <c r="Z35" s="94">
        <f t="shared" si="27"/>
        <v>0.23700599999999999</v>
      </c>
      <c r="AA35" s="94">
        <f t="shared" si="28"/>
        <v>20.740104000000002</v>
      </c>
      <c r="AB35" s="94">
        <f t="shared" si="29"/>
        <v>57.035286000000006</v>
      </c>
      <c r="AC35" s="94">
        <f t="shared" si="30"/>
        <v>98.515494000000018</v>
      </c>
      <c r="AJ35" s="18"/>
      <c r="AK35">
        <v>288</v>
      </c>
      <c r="AL35" s="34">
        <f t="shared" si="42"/>
        <v>3.287671232876712E-2</v>
      </c>
      <c r="AM35" s="34">
        <f t="shared" si="31"/>
        <v>0.9671232876712329</v>
      </c>
      <c r="AN35" s="94">
        <f t="shared" si="32"/>
        <v>0.68186643287671234</v>
      </c>
      <c r="AO35" s="94">
        <f t="shared" si="33"/>
        <v>0.34093321643835617</v>
      </c>
      <c r="AP35" s="94">
        <f t="shared" si="34"/>
        <v>20.399170783561644</v>
      </c>
      <c r="AQ35" s="27"/>
      <c r="AR35" s="27"/>
      <c r="AS35" s="94">
        <f t="shared" si="35"/>
        <v>1.8751326904109589</v>
      </c>
      <c r="AT35" s="94">
        <f t="shared" si="36"/>
        <v>0.93756634520547943</v>
      </c>
      <c r="AU35" s="27">
        <f t="shared" si="37"/>
        <v>56.097719654794531</v>
      </c>
      <c r="AV35" s="27"/>
      <c r="AW35" s="27"/>
      <c r="AX35" s="94">
        <f t="shared" si="38"/>
        <v>3.238865556164384</v>
      </c>
      <c r="AY35" s="94">
        <f t="shared" si="39"/>
        <v>1.619432778082192</v>
      </c>
      <c r="AZ35" s="27">
        <f t="shared" si="40"/>
        <v>96.896061221917819</v>
      </c>
      <c r="BA35" s="27"/>
      <c r="BB35" s="27"/>
      <c r="BC35" s="18"/>
      <c r="BP35" s="117"/>
      <c r="CX35" s="117"/>
      <c r="DY35" s="38"/>
      <c r="DZ35" s="38"/>
      <c r="EA35" s="38"/>
      <c r="EB35" s="38"/>
      <c r="EC35" s="38"/>
      <c r="ED35" s="38"/>
      <c r="EE35" s="38"/>
      <c r="EF35" s="38"/>
      <c r="EG35" s="38"/>
    </row>
    <row r="36" spans="1:137" x14ac:dyDescent="0.2">
      <c r="A36" s="3" t="s">
        <v>73</v>
      </c>
      <c r="B36">
        <v>1764</v>
      </c>
      <c r="C36">
        <v>1055</v>
      </c>
      <c r="D36">
        <v>0.98</v>
      </c>
      <c r="E36">
        <v>0.5</v>
      </c>
      <c r="F36" s="2">
        <f t="shared" si="21"/>
        <v>882</v>
      </c>
      <c r="G36" t="s">
        <v>11</v>
      </c>
      <c r="H36" s="20"/>
      <c r="I36" s="21"/>
      <c r="J36">
        <v>882</v>
      </c>
      <c r="K36">
        <v>0.04</v>
      </c>
      <c r="L36">
        <v>0.11</v>
      </c>
      <c r="M36">
        <v>0.19</v>
      </c>
      <c r="N36">
        <v>0.98</v>
      </c>
      <c r="O36" s="27">
        <f t="shared" si="22"/>
        <v>34.574399999999997</v>
      </c>
      <c r="P36" s="27">
        <f t="shared" si="23"/>
        <v>95.079599999999999</v>
      </c>
      <c r="Q36" s="27">
        <f t="shared" si="24"/>
        <v>164.22840000000002</v>
      </c>
      <c r="R36" s="27"/>
      <c r="S36" s="27"/>
      <c r="T36" s="27"/>
      <c r="U36" s="18"/>
      <c r="V36">
        <v>2.3999999999999998E-3</v>
      </c>
      <c r="W36">
        <v>0.99760000000000004</v>
      </c>
      <c r="X36" s="94">
        <f t="shared" si="25"/>
        <v>8.2978559999999979E-2</v>
      </c>
      <c r="Y36" s="94">
        <f t="shared" si="26"/>
        <v>0.22819103999999998</v>
      </c>
      <c r="Z36" s="94">
        <f t="shared" si="27"/>
        <v>0.39414816000000003</v>
      </c>
      <c r="AA36" s="94">
        <f t="shared" si="28"/>
        <v>34.491421439999996</v>
      </c>
      <c r="AB36" s="94">
        <f t="shared" si="29"/>
        <v>94.851408960000001</v>
      </c>
      <c r="AC36" s="94">
        <f t="shared" si="30"/>
        <v>163.83425184000004</v>
      </c>
      <c r="AJ36" s="18"/>
      <c r="AK36">
        <v>43</v>
      </c>
      <c r="AL36" s="34">
        <f t="shared" si="42"/>
        <v>4.9086757990867581E-3</v>
      </c>
      <c r="AM36" s="34">
        <f t="shared" ref="AM36:AM50" si="43">1- AL36</f>
        <v>0.99509132420091329</v>
      </c>
      <c r="AN36" s="94">
        <f t="shared" si="32"/>
        <v>0.16930720569863011</v>
      </c>
      <c r="AO36" s="94">
        <f t="shared" si="33"/>
        <v>8.4653602849315057E-2</v>
      </c>
      <c r="AP36" s="94">
        <f t="shared" ref="AP36:AP50" si="44">$AA36*$AM36 + AO36</f>
        <v>34.406767837150682</v>
      </c>
      <c r="AQ36" s="27"/>
      <c r="AR36" s="27"/>
      <c r="AS36" s="94">
        <f t="shared" ref="AS36:AS50" si="45">$AL36*$AB36</f>
        <v>0.4655948156712329</v>
      </c>
      <c r="AT36" s="94">
        <f t="shared" si="36"/>
        <v>0.23279740783561645</v>
      </c>
      <c r="AU36" s="27">
        <f t="shared" si="37"/>
        <v>94.618611552164396</v>
      </c>
      <c r="AV36" s="27"/>
      <c r="AW36" s="27"/>
      <c r="AX36" s="94">
        <f t="shared" si="38"/>
        <v>0.80420922706849329</v>
      </c>
      <c r="AY36" s="94">
        <f t="shared" si="39"/>
        <v>0.40210461353424665</v>
      </c>
      <c r="AZ36" s="27">
        <f t="shared" si="40"/>
        <v>163.43214722646579</v>
      </c>
      <c r="BA36" s="27"/>
      <c r="BB36" s="27"/>
      <c r="BC36" s="18"/>
      <c r="BP36" s="117"/>
      <c r="CX36" s="117"/>
      <c r="DY36" s="38"/>
      <c r="DZ36" s="38"/>
      <c r="EA36" s="38"/>
      <c r="EB36" s="38"/>
      <c r="EC36" s="38"/>
      <c r="ED36" s="38"/>
      <c r="EE36" s="38"/>
      <c r="EF36" s="38"/>
      <c r="EG36" s="38"/>
    </row>
    <row r="37" spans="1:137" x14ac:dyDescent="0.2">
      <c r="A37" s="3" t="s">
        <v>59</v>
      </c>
      <c r="B37">
        <v>1648</v>
      </c>
      <c r="C37">
        <v>2043</v>
      </c>
      <c r="D37">
        <v>0.85</v>
      </c>
      <c r="F37" s="2">
        <f>B37*D37</f>
        <v>1400.8</v>
      </c>
      <c r="G37" t="s">
        <v>126</v>
      </c>
      <c r="H37" s="20"/>
      <c r="I37" s="21"/>
      <c r="J37">
        <v>1401</v>
      </c>
      <c r="K37">
        <v>0.04</v>
      </c>
      <c r="L37">
        <v>0.11</v>
      </c>
      <c r="M37">
        <v>0.19</v>
      </c>
      <c r="N37">
        <v>0.85</v>
      </c>
      <c r="O37" s="27">
        <f t="shared" si="22"/>
        <v>47.634</v>
      </c>
      <c r="P37" s="27">
        <f t="shared" si="23"/>
        <v>130.99350000000001</v>
      </c>
      <c r="Q37" s="27">
        <f t="shared" si="24"/>
        <v>226.26149999999998</v>
      </c>
      <c r="R37" s="27"/>
      <c r="S37" s="27"/>
      <c r="T37" s="27"/>
      <c r="U37" s="18"/>
      <c r="V37">
        <v>2.3999999999999998E-3</v>
      </c>
      <c r="W37">
        <v>0.99760000000000004</v>
      </c>
      <c r="X37" s="94">
        <f t="shared" si="25"/>
        <v>0.1143216</v>
      </c>
      <c r="Y37" s="94">
        <f t="shared" si="26"/>
        <v>0.31438440000000001</v>
      </c>
      <c r="Z37" s="94">
        <f t="shared" si="27"/>
        <v>0.54302759999999994</v>
      </c>
      <c r="AA37" s="94">
        <f t="shared" si="28"/>
        <v>47.519678400000004</v>
      </c>
      <c r="AB37" s="94">
        <f t="shared" si="29"/>
        <v>130.67911560000002</v>
      </c>
      <c r="AC37" s="94">
        <f t="shared" si="30"/>
        <v>225.7184724</v>
      </c>
      <c r="AJ37" s="18"/>
      <c r="AK37">
        <v>207</v>
      </c>
      <c r="AL37" s="34">
        <f t="shared" si="42"/>
        <v>2.363013698630137E-2</v>
      </c>
      <c r="AM37" s="34">
        <f t="shared" si="43"/>
        <v>0.97636986301369866</v>
      </c>
      <c r="AN37" s="94">
        <f t="shared" si="32"/>
        <v>1.1228965101369863</v>
      </c>
      <c r="AO37" s="94">
        <f t="shared" si="33"/>
        <v>0.56144825506849316</v>
      </c>
      <c r="AP37" s="94">
        <f t="shared" si="44"/>
        <v>46.958230144931512</v>
      </c>
      <c r="AQ37" s="27"/>
      <c r="AR37" s="27"/>
      <c r="AS37" s="94">
        <f t="shared" si="45"/>
        <v>3.087965402876713</v>
      </c>
      <c r="AT37" s="94">
        <f t="shared" si="36"/>
        <v>1.5439827014383565</v>
      </c>
      <c r="AU37" s="27">
        <f t="shared" si="37"/>
        <v>129.13513289856166</v>
      </c>
      <c r="AV37" s="27"/>
      <c r="AW37" s="27"/>
      <c r="AX37" s="94">
        <f t="shared" si="38"/>
        <v>5.3337584231506847</v>
      </c>
      <c r="AY37" s="94">
        <f t="shared" si="39"/>
        <v>2.6668792115753424</v>
      </c>
      <c r="AZ37" s="27">
        <f t="shared" si="40"/>
        <v>223.05159318842468</v>
      </c>
      <c r="BA37" s="27"/>
      <c r="BB37" s="27"/>
      <c r="BC37" s="18"/>
      <c r="BP37" s="117"/>
      <c r="CX37" s="117"/>
      <c r="DY37" s="38"/>
      <c r="DZ37" s="38"/>
      <c r="EA37" s="38"/>
      <c r="EB37" s="38"/>
      <c r="EC37" s="38"/>
      <c r="ED37" s="38"/>
      <c r="EE37" s="38"/>
      <c r="EF37" s="38"/>
      <c r="EG37" s="38"/>
    </row>
    <row r="38" spans="1:137" x14ac:dyDescent="0.2">
      <c r="A38" s="3" t="s">
        <v>60</v>
      </c>
      <c r="B38">
        <v>1503</v>
      </c>
      <c r="C38">
        <v>3031</v>
      </c>
      <c r="D38">
        <v>0.21</v>
      </c>
      <c r="F38" s="2">
        <f>B38*D38</f>
        <v>315.63</v>
      </c>
      <c r="G38" t="s">
        <v>16</v>
      </c>
      <c r="H38" s="20"/>
      <c r="I38" s="21"/>
      <c r="J38">
        <v>316</v>
      </c>
      <c r="K38">
        <v>0.04</v>
      </c>
      <c r="L38">
        <v>0.11</v>
      </c>
      <c r="M38">
        <v>0.19</v>
      </c>
      <c r="N38">
        <v>0.21</v>
      </c>
      <c r="O38" s="27">
        <f t="shared" si="22"/>
        <v>2.6543999999999999</v>
      </c>
      <c r="P38" s="27">
        <f t="shared" si="23"/>
        <v>7.299599999999999</v>
      </c>
      <c r="Q38" s="27">
        <f t="shared" si="24"/>
        <v>12.6084</v>
      </c>
      <c r="R38" s="27"/>
      <c r="S38" s="27"/>
      <c r="T38" s="27"/>
      <c r="U38" s="18"/>
      <c r="V38">
        <v>2.3999999999999998E-3</v>
      </c>
      <c r="W38">
        <v>0.99760000000000004</v>
      </c>
      <c r="X38" s="94">
        <f t="shared" si="25"/>
        <v>6.3705599999999991E-3</v>
      </c>
      <c r="Y38" s="94">
        <f t="shared" si="26"/>
        <v>1.7519039999999996E-2</v>
      </c>
      <c r="Z38" s="94">
        <f t="shared" si="27"/>
        <v>3.0260159999999998E-2</v>
      </c>
      <c r="AA38" s="94">
        <f t="shared" si="28"/>
        <v>2.6480294400000002</v>
      </c>
      <c r="AB38" s="94">
        <f t="shared" si="29"/>
        <v>7.2820809599999992</v>
      </c>
      <c r="AC38" s="94">
        <f t="shared" si="30"/>
        <v>12.57813984</v>
      </c>
      <c r="AJ38" s="18"/>
      <c r="AK38">
        <v>315</v>
      </c>
      <c r="AL38" s="34">
        <f t="shared" si="42"/>
        <v>3.5958904109589039E-2</v>
      </c>
      <c r="AM38" s="34">
        <f t="shared" si="43"/>
        <v>0.96404109589041098</v>
      </c>
      <c r="AN38" s="94">
        <f t="shared" si="32"/>
        <v>9.5220236712328765E-2</v>
      </c>
      <c r="AO38" s="94">
        <f t="shared" si="33"/>
        <v>4.7610118356164383E-2</v>
      </c>
      <c r="AP38" s="94">
        <f t="shared" si="44"/>
        <v>2.600419321643836</v>
      </c>
      <c r="AQ38" s="27"/>
      <c r="AR38" s="27"/>
      <c r="AS38" s="94">
        <f t="shared" si="45"/>
        <v>0.26185565095890406</v>
      </c>
      <c r="AT38" s="94">
        <f t="shared" si="36"/>
        <v>0.13092782547945203</v>
      </c>
      <c r="AU38" s="27">
        <f t="shared" si="37"/>
        <v>7.1511531345205466</v>
      </c>
      <c r="AV38" s="27"/>
      <c r="AW38" s="27"/>
      <c r="AX38" s="94">
        <f t="shared" si="38"/>
        <v>0.45229612438356165</v>
      </c>
      <c r="AY38" s="94">
        <f t="shared" si="39"/>
        <v>0.22614806219178082</v>
      </c>
      <c r="AZ38" s="27">
        <f t="shared" si="40"/>
        <v>12.35199177780822</v>
      </c>
      <c r="BA38" s="27"/>
      <c r="BB38" s="27"/>
      <c r="BC38" s="18"/>
      <c r="BP38" s="117"/>
      <c r="CX38" s="117"/>
      <c r="DY38" s="38"/>
      <c r="DZ38" s="38"/>
      <c r="EA38" s="38"/>
      <c r="EB38" s="38"/>
      <c r="EC38" s="38"/>
      <c r="ED38" s="38"/>
      <c r="EE38" s="38"/>
      <c r="EF38" s="38"/>
      <c r="EG38" s="38"/>
    </row>
    <row r="39" spans="1:137" x14ac:dyDescent="0.2">
      <c r="A39" s="3" t="s">
        <v>61</v>
      </c>
      <c r="B39">
        <v>1913</v>
      </c>
      <c r="C39">
        <v>1266</v>
      </c>
      <c r="D39">
        <v>3.65</v>
      </c>
      <c r="E39">
        <v>1.59</v>
      </c>
      <c r="F39" s="2">
        <f t="shared" ref="F39:F50" si="46">B39*E39</f>
        <v>3041.67</v>
      </c>
      <c r="G39" t="s">
        <v>11</v>
      </c>
      <c r="H39" s="20"/>
      <c r="I39" s="21"/>
      <c r="J39">
        <v>3042</v>
      </c>
      <c r="K39">
        <v>0.04</v>
      </c>
      <c r="L39">
        <v>0.11</v>
      </c>
      <c r="M39">
        <v>0.19</v>
      </c>
      <c r="N39">
        <v>1.59</v>
      </c>
      <c r="O39" s="27">
        <f t="shared" si="22"/>
        <v>193.47120000000001</v>
      </c>
      <c r="P39" s="27">
        <f t="shared" si="23"/>
        <v>532.04579999999999</v>
      </c>
      <c r="Q39" s="27">
        <f t="shared" si="24"/>
        <v>918.98820000000012</v>
      </c>
      <c r="R39" s="27"/>
      <c r="S39" s="27"/>
      <c r="T39" s="27"/>
      <c r="U39" s="18"/>
      <c r="V39">
        <v>2.3999999999999998E-3</v>
      </c>
      <c r="W39">
        <v>0.99760000000000004</v>
      </c>
      <c r="X39" s="94">
        <f t="shared" si="25"/>
        <v>0.46433088</v>
      </c>
      <c r="Y39" s="94">
        <f t="shared" si="26"/>
        <v>1.2769099199999998</v>
      </c>
      <c r="Z39" s="94">
        <f t="shared" si="27"/>
        <v>2.2055716800000003</v>
      </c>
      <c r="AA39" s="94">
        <f t="shared" si="28"/>
        <v>193.00686912</v>
      </c>
      <c r="AB39" s="94">
        <f t="shared" si="29"/>
        <v>530.76889008000001</v>
      </c>
      <c r="AC39" s="94">
        <f t="shared" si="30"/>
        <v>916.78262832000019</v>
      </c>
      <c r="AJ39" s="18"/>
      <c r="AK39">
        <v>114</v>
      </c>
      <c r="AL39" s="34">
        <f t="shared" si="42"/>
        <v>1.3013698630136987E-2</v>
      </c>
      <c r="AM39" s="34">
        <f t="shared" si="43"/>
        <v>0.98698630136986298</v>
      </c>
      <c r="AN39" s="94">
        <f t="shared" si="32"/>
        <v>2.5117332282739726</v>
      </c>
      <c r="AO39" s="94">
        <f t="shared" si="33"/>
        <v>1.2558666141369863</v>
      </c>
      <c r="AP39" s="94">
        <f t="shared" si="44"/>
        <v>191.751002505863</v>
      </c>
      <c r="AQ39" s="27"/>
      <c r="AR39" s="27"/>
      <c r="AS39" s="94">
        <f t="shared" si="45"/>
        <v>6.9072663777534249</v>
      </c>
      <c r="AT39" s="94">
        <f t="shared" si="36"/>
        <v>3.4536331888767124</v>
      </c>
      <c r="AU39" s="27">
        <f t="shared" si="37"/>
        <v>527.31525689112323</v>
      </c>
      <c r="AV39" s="27"/>
      <c r="AW39" s="27"/>
      <c r="AX39" s="94">
        <f t="shared" si="38"/>
        <v>11.930732834301372</v>
      </c>
      <c r="AY39" s="94">
        <f t="shared" si="39"/>
        <v>5.9653664171506859</v>
      </c>
      <c r="AZ39" s="27">
        <f t="shared" si="40"/>
        <v>910.81726190284951</v>
      </c>
      <c r="BA39" s="27"/>
      <c r="BB39" s="27"/>
      <c r="BC39" s="18"/>
      <c r="BP39" s="117"/>
      <c r="CX39" s="117"/>
      <c r="DY39" s="38"/>
      <c r="DZ39" s="38"/>
      <c r="EA39" s="38"/>
      <c r="EB39" s="38"/>
      <c r="EC39" s="38"/>
      <c r="ED39" s="38"/>
      <c r="EE39" s="38"/>
      <c r="EF39" s="38"/>
      <c r="EG39" s="38"/>
    </row>
    <row r="40" spans="1:137" x14ac:dyDescent="0.2">
      <c r="A40" s="3" t="s">
        <v>62</v>
      </c>
      <c r="B40">
        <v>1890</v>
      </c>
      <c r="C40">
        <v>1398</v>
      </c>
      <c r="D40">
        <v>0.62</v>
      </c>
      <c r="E40">
        <v>0.55000000000000004</v>
      </c>
      <c r="F40" s="2">
        <f t="shared" si="46"/>
        <v>1039.5</v>
      </c>
      <c r="G40" t="s">
        <v>11</v>
      </c>
      <c r="H40" s="20"/>
      <c r="I40" s="21"/>
      <c r="J40">
        <v>1040</v>
      </c>
      <c r="K40">
        <v>0.04</v>
      </c>
      <c r="L40">
        <v>0.11</v>
      </c>
      <c r="M40">
        <v>0.19</v>
      </c>
      <c r="N40">
        <v>0.55000000000000004</v>
      </c>
      <c r="O40" s="27">
        <f t="shared" si="22"/>
        <v>22.880000000000003</v>
      </c>
      <c r="P40" s="27">
        <f t="shared" si="23"/>
        <v>62.920000000000009</v>
      </c>
      <c r="Q40" s="27">
        <f t="shared" si="24"/>
        <v>108.68</v>
      </c>
      <c r="R40" s="27"/>
      <c r="S40" s="27"/>
      <c r="T40" s="27"/>
      <c r="U40" s="18"/>
      <c r="V40">
        <v>2.3999999999999998E-3</v>
      </c>
      <c r="W40">
        <v>0.99760000000000004</v>
      </c>
      <c r="X40" s="94">
        <f t="shared" si="25"/>
        <v>5.4912000000000002E-2</v>
      </c>
      <c r="Y40" s="94">
        <f t="shared" si="26"/>
        <v>0.151008</v>
      </c>
      <c r="Z40" s="94">
        <f t="shared" si="27"/>
        <v>0.26083200000000001</v>
      </c>
      <c r="AA40" s="94">
        <f t="shared" si="28"/>
        <v>22.825088000000004</v>
      </c>
      <c r="AB40" s="94">
        <f t="shared" si="29"/>
        <v>62.768992000000011</v>
      </c>
      <c r="AC40" s="94">
        <f t="shared" si="30"/>
        <v>108.41916800000001</v>
      </c>
      <c r="AJ40" s="18"/>
      <c r="AK40">
        <v>147</v>
      </c>
      <c r="AL40" s="34">
        <f t="shared" si="42"/>
        <v>1.678082191780822E-2</v>
      </c>
      <c r="AM40" s="34">
        <f t="shared" si="43"/>
        <v>0.98321917808219172</v>
      </c>
      <c r="AN40" s="94">
        <f t="shared" si="32"/>
        <v>0.38302373698630143</v>
      </c>
      <c r="AO40" s="94">
        <f t="shared" si="33"/>
        <v>0.19151186849315072</v>
      </c>
      <c r="AP40" s="94">
        <f t="shared" si="44"/>
        <v>22.633576131506853</v>
      </c>
      <c r="AQ40" s="27"/>
      <c r="AR40" s="27"/>
      <c r="AS40" s="94">
        <f t="shared" si="45"/>
        <v>1.0533152767123291</v>
      </c>
      <c r="AT40" s="94">
        <f t="shared" si="36"/>
        <v>0.52665763835616453</v>
      </c>
      <c r="AU40" s="27">
        <f t="shared" si="37"/>
        <v>62.242334361643842</v>
      </c>
      <c r="AV40" s="27"/>
      <c r="AW40" s="27"/>
      <c r="AX40" s="94">
        <f t="shared" si="38"/>
        <v>1.8193627506849317</v>
      </c>
      <c r="AY40" s="94">
        <f t="shared" si="39"/>
        <v>0.90968137534246585</v>
      </c>
      <c r="AZ40" s="27">
        <f t="shared" si="40"/>
        <v>107.50948662465755</v>
      </c>
      <c r="BA40" s="27"/>
      <c r="BB40" s="27"/>
      <c r="BC40" s="18"/>
      <c r="BP40" s="117"/>
      <c r="CX40" s="117"/>
      <c r="DY40" s="38"/>
      <c r="DZ40" s="38"/>
      <c r="EA40" s="38"/>
      <c r="EB40" s="38"/>
      <c r="EC40" s="38"/>
      <c r="ED40" s="38"/>
      <c r="EE40" s="38"/>
      <c r="EF40" s="38"/>
      <c r="EG40" s="38"/>
    </row>
    <row r="41" spans="1:137" x14ac:dyDescent="0.2">
      <c r="A41" s="3" t="s">
        <v>63</v>
      </c>
      <c r="B41">
        <v>1776</v>
      </c>
      <c r="C41">
        <v>1568</v>
      </c>
      <c r="D41">
        <v>2.66</v>
      </c>
      <c r="E41">
        <v>1.78</v>
      </c>
      <c r="F41" s="2">
        <f t="shared" si="46"/>
        <v>3161.28</v>
      </c>
      <c r="G41" t="s">
        <v>11</v>
      </c>
      <c r="H41" s="20"/>
      <c r="I41" s="21"/>
      <c r="J41">
        <v>3161</v>
      </c>
      <c r="K41">
        <v>0.04</v>
      </c>
      <c r="L41">
        <v>0.11</v>
      </c>
      <c r="M41">
        <v>0.19</v>
      </c>
      <c r="N41">
        <v>1.78</v>
      </c>
      <c r="O41" s="27">
        <f t="shared" si="22"/>
        <v>225.06319999999999</v>
      </c>
      <c r="P41" s="27">
        <f t="shared" si="23"/>
        <v>618.92380000000003</v>
      </c>
      <c r="Q41" s="27">
        <f t="shared" si="24"/>
        <v>1069.0502000000001</v>
      </c>
      <c r="R41" s="27"/>
      <c r="S41" s="27"/>
      <c r="T41" s="27"/>
      <c r="U41" s="18"/>
      <c r="V41">
        <v>2.3999999999999998E-3</v>
      </c>
      <c r="W41">
        <v>0.99760000000000004</v>
      </c>
      <c r="X41" s="94">
        <f t="shared" si="25"/>
        <v>0.54015167999999991</v>
      </c>
      <c r="Y41" s="94">
        <f t="shared" si="26"/>
        <v>1.4854171199999999</v>
      </c>
      <c r="Z41" s="94">
        <f t="shared" si="27"/>
        <v>2.56572048</v>
      </c>
      <c r="AA41" s="94">
        <f t="shared" si="28"/>
        <v>224.52304832000002</v>
      </c>
      <c r="AB41" s="94">
        <f t="shared" si="29"/>
        <v>617.43838288000006</v>
      </c>
      <c r="AC41" s="94">
        <f t="shared" si="30"/>
        <v>1066.4844795200001</v>
      </c>
      <c r="AJ41" s="18"/>
      <c r="AK41">
        <v>8</v>
      </c>
      <c r="AL41" s="34">
        <f t="shared" si="42"/>
        <v>9.1324200913242006E-4</v>
      </c>
      <c r="AM41" s="34">
        <f t="shared" si="43"/>
        <v>0.99908675799086755</v>
      </c>
      <c r="AN41" s="94">
        <f t="shared" si="32"/>
        <v>0.20504387974429225</v>
      </c>
      <c r="AO41" s="94">
        <f t="shared" si="33"/>
        <v>0.10252193987214613</v>
      </c>
      <c r="AP41" s="94">
        <f t="shared" si="44"/>
        <v>224.42052638012785</v>
      </c>
      <c r="AQ41" s="27"/>
      <c r="AR41" s="27"/>
      <c r="AS41" s="94">
        <f t="shared" si="45"/>
        <v>0.56387066929680374</v>
      </c>
      <c r="AT41" s="94">
        <f t="shared" si="36"/>
        <v>0.28193533464840187</v>
      </c>
      <c r="AU41" s="27">
        <f t="shared" si="37"/>
        <v>617.15644754535163</v>
      </c>
      <c r="AV41" s="27"/>
      <c r="AW41" s="27"/>
      <c r="AX41" s="94">
        <f t="shared" si="38"/>
        <v>0.97395842878538819</v>
      </c>
      <c r="AY41" s="94">
        <f t="shared" si="39"/>
        <v>0.48697921439269409</v>
      </c>
      <c r="AZ41" s="27">
        <f t="shared" si="40"/>
        <v>1065.9975003056074</v>
      </c>
      <c r="BA41" s="27"/>
      <c r="BB41" s="27"/>
      <c r="BC41" s="18"/>
      <c r="BP41" s="117"/>
      <c r="CX41" s="117"/>
      <c r="DY41" s="38"/>
      <c r="DZ41" s="38"/>
      <c r="EA41" s="38"/>
      <c r="EB41" s="38"/>
      <c r="EC41" s="38"/>
      <c r="ED41" s="38"/>
      <c r="EE41" s="38"/>
      <c r="EF41" s="38"/>
      <c r="EG41" s="38"/>
    </row>
    <row r="42" spans="1:137" x14ac:dyDescent="0.2">
      <c r="A42" s="3" t="s">
        <v>64</v>
      </c>
      <c r="B42">
        <v>1755</v>
      </c>
      <c r="C42">
        <v>4018</v>
      </c>
      <c r="D42">
        <v>1.21</v>
      </c>
      <c r="E42">
        <v>1</v>
      </c>
      <c r="F42" s="2">
        <f t="shared" si="46"/>
        <v>1755</v>
      </c>
      <c r="G42" t="s">
        <v>11</v>
      </c>
      <c r="H42" s="20"/>
      <c r="I42" s="21"/>
      <c r="J42">
        <v>1755</v>
      </c>
      <c r="K42">
        <v>0.04</v>
      </c>
      <c r="L42">
        <v>0.11</v>
      </c>
      <c r="M42">
        <v>0.19</v>
      </c>
      <c r="N42">
        <v>1</v>
      </c>
      <c r="O42" s="27">
        <f t="shared" si="22"/>
        <v>70.2</v>
      </c>
      <c r="P42" s="27">
        <f t="shared" si="23"/>
        <v>193.05</v>
      </c>
      <c r="Q42" s="27">
        <f t="shared" si="24"/>
        <v>333.45</v>
      </c>
      <c r="R42" s="27"/>
      <c r="S42" s="27"/>
      <c r="T42" s="27"/>
      <c r="U42" s="18"/>
      <c r="V42">
        <v>2.3999999999999998E-3</v>
      </c>
      <c r="W42">
        <v>0.99760000000000004</v>
      </c>
      <c r="X42" s="94">
        <f t="shared" si="25"/>
        <v>0.16847999999999999</v>
      </c>
      <c r="Y42" s="94">
        <f t="shared" si="26"/>
        <v>0.46332000000000001</v>
      </c>
      <c r="Z42" s="94">
        <f t="shared" si="27"/>
        <v>0.80027999999999988</v>
      </c>
      <c r="AA42" s="94">
        <f t="shared" si="28"/>
        <v>70.03152</v>
      </c>
      <c r="AB42" s="94">
        <f t="shared" si="29"/>
        <v>192.58668000000003</v>
      </c>
      <c r="AC42" s="94">
        <f t="shared" si="30"/>
        <v>332.64972</v>
      </c>
      <c r="AJ42" s="18"/>
      <c r="AK42">
        <v>158</v>
      </c>
      <c r="AL42" s="34">
        <f t="shared" si="42"/>
        <v>1.8036529680365298E-2</v>
      </c>
      <c r="AM42" s="34">
        <f t="shared" si="43"/>
        <v>0.98196347031963471</v>
      </c>
      <c r="AN42" s="94">
        <f t="shared" si="32"/>
        <v>1.263125589041096</v>
      </c>
      <c r="AO42" s="94">
        <f t="shared" si="33"/>
        <v>0.63156279452054798</v>
      </c>
      <c r="AP42" s="94">
        <f t="shared" si="44"/>
        <v>69.399957205479453</v>
      </c>
      <c r="AQ42" s="27"/>
      <c r="AR42" s="27"/>
      <c r="AS42" s="94">
        <f t="shared" si="45"/>
        <v>3.4735953698630144</v>
      </c>
      <c r="AT42" s="94">
        <f t="shared" si="36"/>
        <v>1.7367976849315072</v>
      </c>
      <c r="AU42" s="27">
        <f t="shared" si="37"/>
        <v>190.84988231506853</v>
      </c>
      <c r="AV42" s="27"/>
      <c r="AW42" s="27"/>
      <c r="AX42" s="94">
        <f t="shared" si="38"/>
        <v>5.9998465479452054</v>
      </c>
      <c r="AY42" s="94">
        <f t="shared" si="39"/>
        <v>2.9999232739726027</v>
      </c>
      <c r="AZ42" s="27">
        <f t="shared" si="40"/>
        <v>329.64979672602743</v>
      </c>
      <c r="BA42" s="27"/>
      <c r="BB42" s="27"/>
      <c r="BC42" s="18"/>
      <c r="BP42" s="117"/>
      <c r="CX42" s="117"/>
      <c r="DY42" s="38"/>
      <c r="DZ42" s="38"/>
      <c r="EA42" s="38"/>
      <c r="EB42" s="38"/>
      <c r="EC42" s="38"/>
      <c r="ED42" s="38"/>
      <c r="EE42" s="38"/>
      <c r="EF42" s="38"/>
      <c r="EG42" s="38"/>
    </row>
    <row r="43" spans="1:137" x14ac:dyDescent="0.2">
      <c r="A43" s="3" t="s">
        <v>65</v>
      </c>
      <c r="B43">
        <v>1894</v>
      </c>
      <c r="C43">
        <v>4029</v>
      </c>
      <c r="D43">
        <v>2.13</v>
      </c>
      <c r="E43">
        <v>1.1599999999999999</v>
      </c>
      <c r="F43" s="2">
        <f t="shared" si="46"/>
        <v>2197.04</v>
      </c>
      <c r="G43" t="s">
        <v>11</v>
      </c>
      <c r="H43" s="20"/>
      <c r="I43" s="21"/>
      <c r="J43">
        <v>2197</v>
      </c>
      <c r="K43">
        <v>0.04</v>
      </c>
      <c r="L43">
        <v>0.11</v>
      </c>
      <c r="M43">
        <v>0.19</v>
      </c>
      <c r="N43">
        <v>1.1599999999999999</v>
      </c>
      <c r="O43" s="27">
        <f t="shared" si="22"/>
        <v>101.94079999999998</v>
      </c>
      <c r="P43" s="27">
        <f t="shared" si="23"/>
        <v>280.33719999999994</v>
      </c>
      <c r="Q43" s="27">
        <f t="shared" si="24"/>
        <v>484.21879999999999</v>
      </c>
      <c r="R43" s="27"/>
      <c r="S43" s="27"/>
      <c r="T43" s="27"/>
      <c r="U43" s="18"/>
      <c r="V43">
        <v>2.3999999999999998E-3</v>
      </c>
      <c r="W43">
        <v>0.99760000000000004</v>
      </c>
      <c r="X43" s="94">
        <f t="shared" si="25"/>
        <v>0.24465791999999995</v>
      </c>
      <c r="Y43" s="94">
        <f t="shared" si="26"/>
        <v>0.67280927999999984</v>
      </c>
      <c r="Z43" s="94">
        <f t="shared" si="27"/>
        <v>1.1621251199999998</v>
      </c>
      <c r="AA43" s="94">
        <f t="shared" si="28"/>
        <v>101.69614207999999</v>
      </c>
      <c r="AB43" s="94">
        <f t="shared" si="29"/>
        <v>279.66439071999997</v>
      </c>
      <c r="AC43" s="94">
        <f t="shared" si="30"/>
        <v>483.05667488</v>
      </c>
      <c r="AJ43" s="18"/>
      <c r="AK43">
        <v>584</v>
      </c>
      <c r="AL43" s="34">
        <f t="shared" si="42"/>
        <v>6.6666666666666666E-2</v>
      </c>
      <c r="AM43" s="34">
        <f t="shared" si="43"/>
        <v>0.93333333333333335</v>
      </c>
      <c r="AN43" s="94">
        <f t="shared" si="32"/>
        <v>6.7797428053333322</v>
      </c>
      <c r="AO43" s="94">
        <f t="shared" si="33"/>
        <v>3.3898714026666661</v>
      </c>
      <c r="AP43" s="94">
        <f t="shared" si="44"/>
        <v>98.30627067733333</v>
      </c>
      <c r="AQ43" s="27"/>
      <c r="AR43" s="27"/>
      <c r="AS43" s="94">
        <f t="shared" si="45"/>
        <v>18.644292714666665</v>
      </c>
      <c r="AT43" s="94">
        <f t="shared" si="36"/>
        <v>9.3221463573333327</v>
      </c>
      <c r="AU43" s="27">
        <f t="shared" si="37"/>
        <v>270.34224436266663</v>
      </c>
      <c r="AV43" s="27"/>
      <c r="AW43" s="27"/>
      <c r="AX43" s="94">
        <f t="shared" si="38"/>
        <v>32.203778325333332</v>
      </c>
      <c r="AY43" s="94">
        <f t="shared" si="39"/>
        <v>16.101889162666666</v>
      </c>
      <c r="AZ43" s="27">
        <f t="shared" si="40"/>
        <v>466.95478571733338</v>
      </c>
      <c r="BA43" s="27"/>
      <c r="BB43" s="27"/>
      <c r="BC43" s="18"/>
      <c r="BP43" s="117"/>
      <c r="CX43" s="117"/>
      <c r="DY43" s="38"/>
      <c r="DZ43" s="38"/>
      <c r="EA43" s="38"/>
      <c r="EB43" s="38"/>
      <c r="EC43" s="38"/>
      <c r="ED43" s="38"/>
      <c r="EE43" s="38"/>
      <c r="EF43" s="38"/>
      <c r="EG43" s="38"/>
    </row>
    <row r="44" spans="1:137" x14ac:dyDescent="0.2">
      <c r="A44" s="3" t="s">
        <v>66</v>
      </c>
      <c r="B44">
        <v>1656</v>
      </c>
      <c r="C44">
        <v>957</v>
      </c>
      <c r="D44">
        <v>2.15</v>
      </c>
      <c r="E44">
        <v>1</v>
      </c>
      <c r="F44" s="2">
        <f t="shared" si="46"/>
        <v>1656</v>
      </c>
      <c r="G44" t="s">
        <v>11</v>
      </c>
      <c r="H44" s="20"/>
      <c r="I44" s="21"/>
      <c r="J44">
        <v>1656</v>
      </c>
      <c r="K44">
        <v>0.04</v>
      </c>
      <c r="L44">
        <v>0.11</v>
      </c>
      <c r="M44">
        <v>0.19</v>
      </c>
      <c r="N44">
        <v>1</v>
      </c>
      <c r="O44" s="27">
        <f t="shared" si="22"/>
        <v>66.239999999999995</v>
      </c>
      <c r="P44" s="27">
        <f t="shared" si="23"/>
        <v>182.16</v>
      </c>
      <c r="Q44" s="27">
        <f t="shared" si="24"/>
        <v>314.64</v>
      </c>
      <c r="R44" s="27"/>
      <c r="S44" s="27"/>
      <c r="T44" s="27"/>
      <c r="U44" s="18"/>
      <c r="V44">
        <v>2.3999999999999998E-3</v>
      </c>
      <c r="W44">
        <v>0.99760000000000004</v>
      </c>
      <c r="X44" s="94">
        <f t="shared" si="25"/>
        <v>0.15897599999999998</v>
      </c>
      <c r="Y44" s="94">
        <f t="shared" si="26"/>
        <v>0.43718399999999996</v>
      </c>
      <c r="Z44" s="94">
        <f t="shared" si="27"/>
        <v>0.75513599999999992</v>
      </c>
      <c r="AA44" s="94">
        <f t="shared" si="28"/>
        <v>66.081023999999999</v>
      </c>
      <c r="AB44" s="94">
        <f t="shared" si="29"/>
        <v>181.72281599999999</v>
      </c>
      <c r="AC44" s="94">
        <f t="shared" si="30"/>
        <v>313.88486399999999</v>
      </c>
      <c r="AJ44" s="18"/>
      <c r="AK44">
        <v>0</v>
      </c>
      <c r="AL44" s="34">
        <f t="shared" si="42"/>
        <v>0</v>
      </c>
      <c r="AM44" s="34">
        <f t="shared" si="43"/>
        <v>1</v>
      </c>
      <c r="AN44" s="94">
        <f t="shared" si="32"/>
        <v>0</v>
      </c>
      <c r="AO44" s="94">
        <f t="shared" si="33"/>
        <v>0</v>
      </c>
      <c r="AP44" s="94">
        <f t="shared" si="44"/>
        <v>66.081023999999999</v>
      </c>
      <c r="AQ44" s="27"/>
      <c r="AR44" s="27"/>
      <c r="AS44" s="94">
        <f t="shared" si="45"/>
        <v>0</v>
      </c>
      <c r="AT44" s="94">
        <f t="shared" si="36"/>
        <v>0</v>
      </c>
      <c r="AU44" s="27">
        <f t="shared" si="37"/>
        <v>181.72281599999999</v>
      </c>
      <c r="AV44" s="27"/>
      <c r="AW44" s="27"/>
      <c r="AX44" s="94">
        <f t="shared" si="38"/>
        <v>0</v>
      </c>
      <c r="AY44" s="94">
        <f t="shared" si="39"/>
        <v>0</v>
      </c>
      <c r="AZ44" s="27">
        <f t="shared" si="40"/>
        <v>313.88486399999999</v>
      </c>
      <c r="BA44" s="27"/>
      <c r="BB44" s="27"/>
      <c r="BC44" s="18"/>
      <c r="BP44" s="117"/>
      <c r="CX44" s="117"/>
      <c r="DY44" s="38"/>
      <c r="DZ44" s="38"/>
      <c r="EA44" s="38"/>
      <c r="EB44" s="38"/>
      <c r="EC44" s="38"/>
      <c r="ED44" s="38"/>
      <c r="EE44" s="38"/>
      <c r="EF44" s="38"/>
      <c r="EG44" s="38"/>
    </row>
    <row r="45" spans="1:137" x14ac:dyDescent="0.2">
      <c r="A45" s="3" t="s">
        <v>67</v>
      </c>
      <c r="B45">
        <v>1299</v>
      </c>
      <c r="C45">
        <v>6774</v>
      </c>
      <c r="D45">
        <v>0.09</v>
      </c>
      <c r="E45">
        <v>0.13</v>
      </c>
      <c r="F45" s="2">
        <f t="shared" si="46"/>
        <v>168.87</v>
      </c>
      <c r="G45" t="s">
        <v>11</v>
      </c>
      <c r="H45" s="20"/>
      <c r="I45" s="21"/>
      <c r="J45">
        <v>169</v>
      </c>
      <c r="K45">
        <v>0.04</v>
      </c>
      <c r="L45">
        <v>0.11</v>
      </c>
      <c r="M45">
        <v>0.19</v>
      </c>
      <c r="N45">
        <v>0.13</v>
      </c>
      <c r="O45" s="27">
        <f t="shared" si="22"/>
        <v>0.87880000000000003</v>
      </c>
      <c r="P45" s="27">
        <f t="shared" si="23"/>
        <v>2.4167000000000001</v>
      </c>
      <c r="Q45" s="27">
        <f t="shared" si="24"/>
        <v>4.1742999999999997</v>
      </c>
      <c r="R45" s="27"/>
      <c r="S45" s="27"/>
      <c r="T45" s="27"/>
      <c r="U45" s="18"/>
      <c r="V45">
        <v>2.3999999999999998E-3</v>
      </c>
      <c r="W45">
        <v>0.99760000000000004</v>
      </c>
      <c r="X45" s="94">
        <f t="shared" si="25"/>
        <v>2.1091199999999999E-3</v>
      </c>
      <c r="Y45" s="94">
        <f t="shared" si="26"/>
        <v>5.80008E-3</v>
      </c>
      <c r="Z45" s="94">
        <f t="shared" si="27"/>
        <v>1.0018319999999999E-2</v>
      </c>
      <c r="AA45" s="94">
        <f t="shared" si="28"/>
        <v>0.87669088000000006</v>
      </c>
      <c r="AB45" s="94">
        <f t="shared" si="29"/>
        <v>2.4108999200000003</v>
      </c>
      <c r="AC45" s="94">
        <f t="shared" si="30"/>
        <v>4.1642816800000002</v>
      </c>
      <c r="AJ45" s="18"/>
      <c r="AK45">
        <v>320</v>
      </c>
      <c r="AL45" s="34">
        <f t="shared" si="42"/>
        <v>3.6529680365296802E-2</v>
      </c>
      <c r="AM45" s="34">
        <f t="shared" si="43"/>
        <v>0.9634703196347032</v>
      </c>
      <c r="AN45" s="94">
        <f t="shared" si="32"/>
        <v>3.2025237625570774E-2</v>
      </c>
      <c r="AO45" s="94">
        <f t="shared" si="33"/>
        <v>1.6012618812785387E-2</v>
      </c>
      <c r="AP45" s="94">
        <f t="shared" si="44"/>
        <v>0.86067826118721469</v>
      </c>
      <c r="AQ45" s="27"/>
      <c r="AR45" s="27"/>
      <c r="AS45" s="94">
        <f t="shared" si="45"/>
        <v>8.8069403470319635E-2</v>
      </c>
      <c r="AT45" s="94">
        <f t="shared" si="36"/>
        <v>4.4034701735159817E-2</v>
      </c>
      <c r="AU45" s="27">
        <f t="shared" si="37"/>
        <v>2.3668652182648402</v>
      </c>
      <c r="AV45" s="27"/>
      <c r="AW45" s="27"/>
      <c r="AX45" s="94">
        <f t="shared" si="38"/>
        <v>0.15211987872146118</v>
      </c>
      <c r="AY45" s="94">
        <f t="shared" si="39"/>
        <v>7.6059939360730591E-2</v>
      </c>
      <c r="AZ45" s="27">
        <f t="shared" si="40"/>
        <v>4.0882217406392698</v>
      </c>
      <c r="BA45" s="27"/>
      <c r="BB45" s="27"/>
      <c r="BC45" s="18"/>
      <c r="BP45" s="117"/>
      <c r="CX45" s="117"/>
      <c r="DY45" s="38"/>
      <c r="DZ45" s="38"/>
      <c r="EA45" s="38"/>
      <c r="EB45" s="38"/>
      <c r="EC45" s="38"/>
      <c r="ED45" s="38"/>
      <c r="EE45" s="38"/>
      <c r="EF45" s="38"/>
      <c r="EG45" s="38"/>
    </row>
    <row r="46" spans="1:137" x14ac:dyDescent="0.2">
      <c r="A46" s="3" t="s">
        <v>68</v>
      </c>
      <c r="B46">
        <v>1300</v>
      </c>
      <c r="C46">
        <v>6063</v>
      </c>
      <c r="D46">
        <v>0.17</v>
      </c>
      <c r="E46">
        <v>0.18</v>
      </c>
      <c r="F46" s="2">
        <f t="shared" si="46"/>
        <v>234</v>
      </c>
      <c r="G46" t="s">
        <v>11</v>
      </c>
      <c r="H46" s="20"/>
      <c r="I46" s="21"/>
      <c r="J46">
        <v>234</v>
      </c>
      <c r="K46">
        <v>0.04</v>
      </c>
      <c r="L46">
        <v>0.11</v>
      </c>
      <c r="M46">
        <v>0.19</v>
      </c>
      <c r="N46">
        <v>0.18</v>
      </c>
      <c r="O46" s="27">
        <f t="shared" si="22"/>
        <v>1.6847999999999999</v>
      </c>
      <c r="P46" s="27">
        <f t="shared" si="23"/>
        <v>4.6331999999999995</v>
      </c>
      <c r="Q46" s="27">
        <f t="shared" si="24"/>
        <v>8.0028000000000006</v>
      </c>
      <c r="R46" s="27"/>
      <c r="S46" s="27"/>
      <c r="T46" s="27"/>
      <c r="U46" s="18"/>
      <c r="V46">
        <v>2.3999999999999998E-3</v>
      </c>
      <c r="W46">
        <v>0.99760000000000004</v>
      </c>
      <c r="X46" s="94">
        <f t="shared" si="25"/>
        <v>4.0435199999999992E-3</v>
      </c>
      <c r="Y46" s="94">
        <f t="shared" si="26"/>
        <v>1.1119679999999998E-2</v>
      </c>
      <c r="Z46" s="94">
        <f t="shared" si="27"/>
        <v>1.920672E-2</v>
      </c>
      <c r="AA46" s="94">
        <f t="shared" si="28"/>
        <v>1.6807564799999999</v>
      </c>
      <c r="AB46" s="94">
        <f t="shared" si="29"/>
        <v>4.6220803199999994</v>
      </c>
      <c r="AC46" s="94">
        <f t="shared" si="30"/>
        <v>7.9835932800000009</v>
      </c>
      <c r="AJ46" s="18"/>
      <c r="AK46">
        <v>2</v>
      </c>
      <c r="AL46" s="34">
        <f t="shared" si="42"/>
        <v>2.2831050228310502E-4</v>
      </c>
      <c r="AM46" s="34">
        <f t="shared" si="43"/>
        <v>0.99977168949771689</v>
      </c>
      <c r="AN46" s="94">
        <f t="shared" si="32"/>
        <v>3.8373435616438352E-4</v>
      </c>
      <c r="AO46" s="94">
        <f t="shared" si="33"/>
        <v>1.9186717808219176E-4</v>
      </c>
      <c r="AP46" s="94">
        <f t="shared" si="44"/>
        <v>1.6805646128219178</v>
      </c>
      <c r="AQ46" s="27"/>
      <c r="AR46" s="27"/>
      <c r="AS46" s="94">
        <f t="shared" si="45"/>
        <v>1.0552694794520546E-3</v>
      </c>
      <c r="AT46" s="94">
        <f t="shared" si="36"/>
        <v>5.2763473972602731E-4</v>
      </c>
      <c r="AU46" s="27">
        <f t="shared" si="37"/>
        <v>4.6215526852602729</v>
      </c>
      <c r="AV46" s="27"/>
      <c r="AW46" s="27"/>
      <c r="AX46" s="94">
        <f t="shared" si="38"/>
        <v>1.8227381917808221E-3</v>
      </c>
      <c r="AY46" s="94">
        <f t="shared" si="39"/>
        <v>9.1136909589041104E-4</v>
      </c>
      <c r="AZ46" s="27">
        <f t="shared" si="40"/>
        <v>7.9826819109041098</v>
      </c>
      <c r="BA46" s="27"/>
      <c r="BB46" s="27"/>
      <c r="BC46" s="18"/>
      <c r="BP46" s="117"/>
      <c r="CX46" s="117"/>
      <c r="DY46" s="38"/>
      <c r="DZ46" s="38"/>
      <c r="EA46" s="38"/>
      <c r="EB46" s="38"/>
      <c r="EC46" s="38"/>
      <c r="ED46" s="38"/>
      <c r="EE46" s="38"/>
      <c r="EF46" s="38"/>
      <c r="EG46" s="38"/>
    </row>
    <row r="47" spans="1:137" x14ac:dyDescent="0.2">
      <c r="A47" s="3" t="s">
        <v>69</v>
      </c>
      <c r="B47">
        <v>1811</v>
      </c>
      <c r="C47">
        <v>1137</v>
      </c>
      <c r="D47">
        <v>0.16</v>
      </c>
      <c r="E47">
        <v>0.4</v>
      </c>
      <c r="F47" s="2">
        <f t="shared" si="46"/>
        <v>724.40000000000009</v>
      </c>
      <c r="G47" t="s">
        <v>11</v>
      </c>
      <c r="H47" s="20"/>
      <c r="I47" s="21"/>
      <c r="J47">
        <v>724</v>
      </c>
      <c r="K47">
        <v>0.04</v>
      </c>
      <c r="L47">
        <v>0.11</v>
      </c>
      <c r="M47">
        <v>0.19</v>
      </c>
      <c r="N47">
        <v>0.4</v>
      </c>
      <c r="O47" s="27">
        <f t="shared" si="22"/>
        <v>11.584000000000001</v>
      </c>
      <c r="P47" s="27">
        <f t="shared" si="23"/>
        <v>31.856000000000002</v>
      </c>
      <c r="Q47" s="27">
        <f t="shared" si="24"/>
        <v>55.024000000000001</v>
      </c>
      <c r="R47" s="27"/>
      <c r="S47" s="27"/>
      <c r="T47" s="27"/>
      <c r="U47" s="18"/>
      <c r="V47">
        <v>2.3999999999999998E-3</v>
      </c>
      <c r="W47">
        <v>0.99760000000000004</v>
      </c>
      <c r="X47" s="94">
        <f t="shared" si="25"/>
        <v>2.7801599999999999E-2</v>
      </c>
      <c r="Y47" s="94">
        <f t="shared" si="26"/>
        <v>7.6454399999999992E-2</v>
      </c>
      <c r="Z47" s="94">
        <f t="shared" si="27"/>
        <v>0.1320576</v>
      </c>
      <c r="AA47" s="94">
        <f t="shared" si="28"/>
        <v>11.556198400000001</v>
      </c>
      <c r="AB47" s="94">
        <f t="shared" si="29"/>
        <v>31.779545600000002</v>
      </c>
      <c r="AC47" s="94">
        <f t="shared" si="30"/>
        <v>54.891942400000005</v>
      </c>
      <c r="AJ47" s="18"/>
      <c r="AK47">
        <v>0</v>
      </c>
      <c r="AL47" s="34">
        <f t="shared" si="42"/>
        <v>0</v>
      </c>
      <c r="AM47" s="34">
        <f t="shared" si="43"/>
        <v>1</v>
      </c>
      <c r="AN47" s="94">
        <f t="shared" si="32"/>
        <v>0</v>
      </c>
      <c r="AO47" s="94">
        <f t="shared" si="33"/>
        <v>0</v>
      </c>
      <c r="AP47" s="94">
        <f t="shared" si="44"/>
        <v>11.556198400000001</v>
      </c>
      <c r="AQ47" s="27"/>
      <c r="AR47" s="27"/>
      <c r="AS47" s="94">
        <f t="shared" si="45"/>
        <v>0</v>
      </c>
      <c r="AT47" s="94">
        <f t="shared" si="36"/>
        <v>0</v>
      </c>
      <c r="AU47" s="27">
        <f t="shared" si="37"/>
        <v>31.779545600000002</v>
      </c>
      <c r="AV47" s="27"/>
      <c r="AW47" s="27"/>
      <c r="AX47" s="94">
        <f t="shared" si="38"/>
        <v>0</v>
      </c>
      <c r="AY47" s="94">
        <f t="shared" si="39"/>
        <v>0</v>
      </c>
      <c r="AZ47" s="27">
        <f t="shared" si="40"/>
        <v>54.891942400000005</v>
      </c>
      <c r="BA47" s="27"/>
      <c r="BB47" s="27"/>
      <c r="BC47" s="18"/>
      <c r="BP47" s="117"/>
      <c r="CX47" s="117"/>
      <c r="DY47" s="38"/>
      <c r="DZ47" s="38"/>
      <c r="EA47" s="38"/>
      <c r="EB47" s="38"/>
      <c r="EC47" s="38"/>
      <c r="ED47" s="38"/>
      <c r="EE47" s="38"/>
      <c r="EF47" s="38"/>
      <c r="EG47" s="38"/>
    </row>
    <row r="48" spans="1:137" x14ac:dyDescent="0.2">
      <c r="A48" s="3" t="s">
        <v>70</v>
      </c>
      <c r="B48">
        <v>1685</v>
      </c>
      <c r="C48">
        <v>1450</v>
      </c>
      <c r="D48">
        <v>0.06</v>
      </c>
      <c r="E48">
        <v>0.1</v>
      </c>
      <c r="F48" s="2">
        <f t="shared" si="46"/>
        <v>168.5</v>
      </c>
      <c r="G48" t="s">
        <v>11</v>
      </c>
      <c r="H48" s="20"/>
      <c r="I48" s="21"/>
      <c r="J48">
        <v>169</v>
      </c>
      <c r="K48">
        <v>0.04</v>
      </c>
      <c r="L48">
        <v>0.11</v>
      </c>
      <c r="M48">
        <v>0.19</v>
      </c>
      <c r="N48">
        <v>0.1</v>
      </c>
      <c r="O48" s="27">
        <f t="shared" si="22"/>
        <v>0.67600000000000005</v>
      </c>
      <c r="P48" s="27">
        <f t="shared" si="23"/>
        <v>1.859</v>
      </c>
      <c r="Q48" s="27">
        <f t="shared" si="24"/>
        <v>3.2110000000000003</v>
      </c>
      <c r="R48" s="27"/>
      <c r="S48" s="27"/>
      <c r="T48" s="27"/>
      <c r="U48" s="18"/>
      <c r="V48">
        <v>2.3999999999999998E-3</v>
      </c>
      <c r="W48">
        <v>0.99760000000000004</v>
      </c>
      <c r="X48" s="94">
        <f t="shared" si="25"/>
        <v>1.6224E-3</v>
      </c>
      <c r="Y48" s="94">
        <f t="shared" si="26"/>
        <v>4.4615999999999996E-3</v>
      </c>
      <c r="Z48" s="94">
        <f t="shared" si="27"/>
        <v>7.7064000000000004E-3</v>
      </c>
      <c r="AA48" s="94">
        <f t="shared" si="28"/>
        <v>0.67437760000000002</v>
      </c>
      <c r="AB48" s="94">
        <f t="shared" si="29"/>
        <v>1.8545384</v>
      </c>
      <c r="AC48" s="94">
        <f t="shared" si="30"/>
        <v>3.2032936000000003</v>
      </c>
      <c r="AJ48" s="18"/>
      <c r="AK48">
        <v>0</v>
      </c>
      <c r="AL48" s="34">
        <f t="shared" si="42"/>
        <v>0</v>
      </c>
      <c r="AM48" s="34">
        <f t="shared" si="43"/>
        <v>1</v>
      </c>
      <c r="AN48" s="94">
        <f t="shared" si="32"/>
        <v>0</v>
      </c>
      <c r="AO48" s="94">
        <f t="shared" si="33"/>
        <v>0</v>
      </c>
      <c r="AP48" s="94">
        <f t="shared" si="44"/>
        <v>0.67437760000000002</v>
      </c>
      <c r="AQ48" s="27"/>
      <c r="AR48" s="27"/>
      <c r="AS48" s="94">
        <f t="shared" si="45"/>
        <v>0</v>
      </c>
      <c r="AT48" s="94">
        <f t="shared" si="36"/>
        <v>0</v>
      </c>
      <c r="AU48" s="27">
        <f t="shared" si="37"/>
        <v>1.8545384</v>
      </c>
      <c r="AV48" s="27"/>
      <c r="AW48" s="27"/>
      <c r="AX48" s="94">
        <f t="shared" si="38"/>
        <v>0</v>
      </c>
      <c r="AY48" s="94">
        <f t="shared" si="39"/>
        <v>0</v>
      </c>
      <c r="AZ48" s="27">
        <f t="shared" si="40"/>
        <v>3.2032936000000003</v>
      </c>
      <c r="BA48" s="27"/>
      <c r="BB48" s="27"/>
      <c r="BC48" s="18"/>
      <c r="BP48" s="117"/>
      <c r="CX48" s="117"/>
      <c r="DY48" s="38"/>
      <c r="DZ48" s="38"/>
      <c r="EA48" s="38"/>
      <c r="EB48" s="38"/>
      <c r="EC48" s="38"/>
      <c r="ED48" s="38"/>
      <c r="EE48" s="38"/>
      <c r="EF48" s="38"/>
      <c r="EG48" s="38"/>
    </row>
    <row r="49" spans="1:137" x14ac:dyDescent="0.2">
      <c r="A49" s="3" t="s">
        <v>71</v>
      </c>
      <c r="B49">
        <v>1693</v>
      </c>
      <c r="C49">
        <v>1035</v>
      </c>
      <c r="D49">
        <v>1.42</v>
      </c>
      <c r="E49">
        <v>1.1499999999999999</v>
      </c>
      <c r="F49" s="2">
        <f t="shared" si="46"/>
        <v>1946.9499999999998</v>
      </c>
      <c r="G49" t="s">
        <v>11</v>
      </c>
      <c r="H49" s="20"/>
      <c r="I49" s="21"/>
      <c r="J49">
        <v>1947</v>
      </c>
      <c r="K49">
        <v>0.04</v>
      </c>
      <c r="L49">
        <v>0.11</v>
      </c>
      <c r="M49" s="247">
        <v>0.19</v>
      </c>
      <c r="N49" s="247">
        <v>1.1499999999999999</v>
      </c>
      <c r="O49" s="255">
        <f t="shared" si="22"/>
        <v>89.561999999999983</v>
      </c>
      <c r="P49" s="255">
        <f t="shared" si="23"/>
        <v>246.29549999999998</v>
      </c>
      <c r="Q49" s="255">
        <f t="shared" si="24"/>
        <v>425.41949999999997</v>
      </c>
      <c r="R49" s="255"/>
      <c r="S49" s="255"/>
      <c r="T49" s="255"/>
      <c r="U49" s="21"/>
      <c r="V49">
        <v>2.3999999999999998E-3</v>
      </c>
      <c r="W49">
        <v>0.99760000000000004</v>
      </c>
      <c r="X49" s="94">
        <f t="shared" si="25"/>
        <v>0.21494879999999994</v>
      </c>
      <c r="Y49" s="94">
        <f t="shared" si="26"/>
        <v>0.59110919999999989</v>
      </c>
      <c r="Z49" s="94">
        <f t="shared" si="27"/>
        <v>1.0210067999999999</v>
      </c>
      <c r="AA49" s="94">
        <f t="shared" si="28"/>
        <v>89.347051199999981</v>
      </c>
      <c r="AB49" s="94">
        <f t="shared" si="29"/>
        <v>245.7043908</v>
      </c>
      <c r="AC49" s="94">
        <f t="shared" si="30"/>
        <v>424.39849319999996</v>
      </c>
      <c r="AJ49" s="18"/>
      <c r="AK49">
        <v>155</v>
      </c>
      <c r="AL49" s="34">
        <f t="shared" si="42"/>
        <v>1.7694063926940638E-2</v>
      </c>
      <c r="AM49" s="34">
        <f t="shared" si="43"/>
        <v>0.98230593607305938</v>
      </c>
      <c r="AN49" s="94">
        <f t="shared" si="32"/>
        <v>1.5809124356164379</v>
      </c>
      <c r="AO49" s="94">
        <f t="shared" si="33"/>
        <v>0.79045621780821895</v>
      </c>
      <c r="AP49" s="94">
        <f t="shared" si="44"/>
        <v>88.556594982191754</v>
      </c>
      <c r="AQ49" s="27"/>
      <c r="AR49" s="27"/>
      <c r="AS49" s="94">
        <f t="shared" si="45"/>
        <v>4.3475091979452056</v>
      </c>
      <c r="AT49" s="94">
        <f t="shared" si="36"/>
        <v>2.1737545989726028</v>
      </c>
      <c r="AU49" s="27">
        <f t="shared" si="37"/>
        <v>243.53063620102742</v>
      </c>
      <c r="AV49" s="27"/>
      <c r="AW49" s="27"/>
      <c r="AX49" s="94">
        <f t="shared" si="38"/>
        <v>7.509334069178081</v>
      </c>
      <c r="AY49" s="94">
        <f t="shared" si="39"/>
        <v>3.7546670345890405</v>
      </c>
      <c r="AZ49" s="27">
        <f t="shared" si="40"/>
        <v>420.64382616541093</v>
      </c>
      <c r="BA49" s="27"/>
      <c r="BB49" s="27"/>
      <c r="BC49" s="18"/>
      <c r="BP49" s="117"/>
      <c r="CX49" s="117"/>
      <c r="DY49" s="38"/>
      <c r="DZ49" s="38"/>
      <c r="EA49" s="38"/>
      <c r="EB49" s="38"/>
      <c r="EC49" s="38"/>
      <c r="ED49" s="38"/>
      <c r="EE49" s="38"/>
      <c r="EF49" s="38"/>
      <c r="EG49" s="38"/>
    </row>
    <row r="50" spans="1:137" x14ac:dyDescent="0.2">
      <c r="A50" s="4" t="s">
        <v>72</v>
      </c>
      <c r="B50" s="5">
        <v>1595</v>
      </c>
      <c r="C50" s="5">
        <v>4718</v>
      </c>
      <c r="D50" s="5">
        <v>0.52</v>
      </c>
      <c r="E50" s="247">
        <v>0.6</v>
      </c>
      <c r="F50" s="13">
        <f t="shared" si="46"/>
        <v>957</v>
      </c>
      <c r="G50" t="s">
        <v>11</v>
      </c>
      <c r="H50" s="29"/>
      <c r="I50" s="30"/>
      <c r="J50" s="4">
        <v>957</v>
      </c>
      <c r="K50">
        <v>0.04</v>
      </c>
      <c r="L50">
        <v>0.11</v>
      </c>
      <c r="M50" s="247">
        <v>0.19</v>
      </c>
      <c r="N50" s="247">
        <v>0.6</v>
      </c>
      <c r="O50" s="255">
        <f t="shared" si="22"/>
        <v>22.968</v>
      </c>
      <c r="P50" s="255">
        <f t="shared" si="23"/>
        <v>63.161999999999992</v>
      </c>
      <c r="Q50" s="255">
        <f t="shared" si="24"/>
        <v>109.098</v>
      </c>
      <c r="R50" s="255"/>
      <c r="S50" s="255"/>
      <c r="T50" s="255"/>
      <c r="U50" s="30"/>
      <c r="V50">
        <v>2.3999999999999998E-3</v>
      </c>
      <c r="W50">
        <v>0.99760000000000004</v>
      </c>
      <c r="X50" s="94">
        <f t="shared" si="25"/>
        <v>5.5123199999999997E-2</v>
      </c>
      <c r="Y50" s="94">
        <f t="shared" si="26"/>
        <v>0.15158879999999997</v>
      </c>
      <c r="Z50" s="94">
        <f t="shared" si="27"/>
        <v>0.26183519999999999</v>
      </c>
      <c r="AA50" s="94">
        <f t="shared" si="28"/>
        <v>22.912876799999999</v>
      </c>
      <c r="AB50" s="94">
        <f t="shared" si="29"/>
        <v>63.010411199999993</v>
      </c>
      <c r="AC50" s="94">
        <f t="shared" si="30"/>
        <v>108.83616480000001</v>
      </c>
      <c r="AJ50" s="19"/>
      <c r="AK50">
        <v>10</v>
      </c>
      <c r="AL50" s="34">
        <f t="shared" si="42"/>
        <v>1.1415525114155251E-3</v>
      </c>
      <c r="AM50" s="34">
        <f t="shared" si="43"/>
        <v>0.99885844748858443</v>
      </c>
      <c r="AN50" s="94">
        <f t="shared" si="32"/>
        <v>2.6156252054794518E-2</v>
      </c>
      <c r="AO50" s="94">
        <f t="shared" si="33"/>
        <v>1.3078126027397259E-2</v>
      </c>
      <c r="AP50" s="94">
        <f t="shared" si="44"/>
        <v>22.899798673972601</v>
      </c>
      <c r="AQ50" s="27"/>
      <c r="AR50" s="27"/>
      <c r="AS50" s="94">
        <f t="shared" si="45"/>
        <v>7.1929693150684926E-2</v>
      </c>
      <c r="AT50" s="94">
        <f t="shared" si="36"/>
        <v>3.5964846575342463E-2</v>
      </c>
      <c r="AU50" s="27">
        <f t="shared" si="37"/>
        <v>62.974446353424646</v>
      </c>
      <c r="AV50" s="27"/>
      <c r="AW50" s="27"/>
      <c r="AX50" s="94">
        <f t="shared" si="38"/>
        <v>0.12424219726027397</v>
      </c>
      <c r="AY50" s="94">
        <f t="shared" si="39"/>
        <v>6.2121098630136984E-2</v>
      </c>
      <c r="AZ50" s="27">
        <f t="shared" si="40"/>
        <v>108.77404370136988</v>
      </c>
      <c r="BA50" s="27"/>
      <c r="BB50" s="27"/>
      <c r="BC50" s="18"/>
      <c r="BD50" s="5"/>
      <c r="BE50" s="5"/>
      <c r="BF50" s="5"/>
      <c r="BG50" s="5"/>
      <c r="BH50" s="5"/>
      <c r="BI50" s="5"/>
      <c r="BJ50" s="5"/>
      <c r="BK50" s="5"/>
      <c r="BL50" s="5"/>
      <c r="BM50" s="5"/>
      <c r="BN50" s="5"/>
      <c r="BO50" s="5"/>
      <c r="BP50" s="29"/>
      <c r="CX50" s="29"/>
      <c r="DY50" s="38"/>
      <c r="DZ50" s="38"/>
      <c r="EA50" s="38"/>
      <c r="EB50" s="38"/>
      <c r="EC50" s="38"/>
      <c r="ED50" s="38"/>
      <c r="EE50" s="38"/>
      <c r="EF50" s="38"/>
      <c r="EG50" s="38"/>
    </row>
    <row r="51" spans="1:137" x14ac:dyDescent="0.2">
      <c r="E51" s="249"/>
      <c r="BC51" s="59"/>
      <c r="BP51" s="118"/>
      <c r="CX51" s="118"/>
      <c r="DY51" s="38"/>
      <c r="DZ51" s="38"/>
      <c r="EA51" s="38"/>
      <c r="EB51" s="38"/>
      <c r="EC51" s="38"/>
      <c r="ED51" s="38"/>
      <c r="EE51" s="38"/>
      <c r="EF51" s="38"/>
      <c r="EG51" s="38"/>
    </row>
    <row r="52" spans="1:137" x14ac:dyDescent="0.2">
      <c r="BC52" s="59"/>
      <c r="BD52" s="35"/>
      <c r="BE52" s="37"/>
      <c r="BF52" s="35"/>
      <c r="BG52" s="35"/>
      <c r="BH52" s="35"/>
      <c r="BI52" s="35"/>
      <c r="BP52" s="119"/>
      <c r="CX52" s="119"/>
      <c r="DY52" s="38"/>
      <c r="DZ52" s="38"/>
      <c r="EA52" s="38"/>
      <c r="EB52" s="38"/>
      <c r="EC52" s="38"/>
      <c r="ED52" s="38"/>
      <c r="EE52" s="38"/>
      <c r="EF52" s="38"/>
      <c r="EG52" s="38"/>
    </row>
    <row r="53" spans="1:137" x14ac:dyDescent="0.2">
      <c r="AK53" t="s">
        <v>93</v>
      </c>
      <c r="BC53" s="18"/>
      <c r="BD53" s="7" t="s">
        <v>84</v>
      </c>
      <c r="BE53" s="67"/>
      <c r="BF53" s="7"/>
      <c r="BG53" s="7"/>
      <c r="BH53" s="7"/>
      <c r="BI53" s="7"/>
      <c r="BJ53" s="1"/>
      <c r="BK53" s="1"/>
      <c r="BL53" s="1"/>
      <c r="BM53" s="1"/>
      <c r="BN53" s="1"/>
      <c r="BO53" s="1"/>
      <c r="BP53" s="117"/>
      <c r="CX53" s="117"/>
      <c r="DY53" s="38"/>
      <c r="DZ53" s="38"/>
      <c r="EA53" s="38"/>
      <c r="EB53" s="38"/>
      <c r="EC53" s="38"/>
      <c r="ED53" s="38"/>
      <c r="EE53" s="38"/>
      <c r="EF53" s="38"/>
      <c r="EG53" s="38"/>
    </row>
    <row r="54" spans="1:137" x14ac:dyDescent="0.2">
      <c r="BC54" s="18"/>
      <c r="BD54" s="9" t="s">
        <v>77</v>
      </c>
      <c r="BE54" s="9" t="s">
        <v>78</v>
      </c>
      <c r="BF54" s="9" t="s">
        <v>79</v>
      </c>
      <c r="BG54" s="9"/>
      <c r="BH54" s="9"/>
      <c r="BI54" s="9"/>
      <c r="BP54" s="117"/>
      <c r="CX54" s="117"/>
      <c r="DY54" s="38"/>
      <c r="DZ54" s="38"/>
      <c r="EA54" s="38"/>
      <c r="EB54" s="38"/>
      <c r="EC54" s="38"/>
      <c r="ED54" s="38"/>
      <c r="EE54" s="38"/>
      <c r="EF54" s="38"/>
      <c r="EG54" s="38"/>
    </row>
    <row r="55" spans="1:137" x14ac:dyDescent="0.2">
      <c r="BC55" s="18"/>
      <c r="BD55" s="9"/>
      <c r="BE55" s="9"/>
      <c r="BF55" s="9"/>
      <c r="BG55" s="9"/>
      <c r="BH55" s="9"/>
      <c r="BI55" s="9"/>
      <c r="BP55" s="117"/>
      <c r="CX55" s="117"/>
      <c r="DY55" s="38"/>
      <c r="DZ55" s="38"/>
      <c r="EA55" s="38"/>
      <c r="EB55" s="38"/>
      <c r="EC55" s="38"/>
      <c r="ED55" s="38"/>
      <c r="EE55" s="38"/>
      <c r="EF55" s="38"/>
      <c r="EG55" s="38"/>
    </row>
    <row r="56" spans="1:137" x14ac:dyDescent="0.2">
      <c r="BC56" s="19"/>
      <c r="BD56" s="33">
        <v>0.88480000000000003</v>
      </c>
      <c r="BE56" s="33">
        <v>0.94579999999999997</v>
      </c>
      <c r="BF56" s="33">
        <v>0.97699999999999998</v>
      </c>
      <c r="BG56" s="33"/>
      <c r="BH56" s="33"/>
      <c r="BI56" s="33"/>
      <c r="BP56" s="29"/>
      <c r="CX56" s="29"/>
      <c r="DY56" s="38"/>
      <c r="DZ56" s="38"/>
      <c r="EA56" s="38"/>
      <c r="EB56" s="38"/>
      <c r="EC56" s="38"/>
      <c r="ED56" s="38"/>
      <c r="EE56" s="38"/>
      <c r="EF56" s="38"/>
      <c r="EG56" s="38"/>
    </row>
    <row r="57" spans="1:137" x14ac:dyDescent="0.2">
      <c r="BD57" s="36"/>
      <c r="BE57" s="36"/>
      <c r="BF57" s="36"/>
      <c r="BG57" s="36"/>
      <c r="BH57" s="36"/>
      <c r="BI57" s="36"/>
      <c r="BJ57" s="36"/>
      <c r="BK57" s="36"/>
      <c r="BL57" s="36"/>
      <c r="BM57" s="36"/>
      <c r="BN57" s="36"/>
      <c r="BO57" s="36"/>
      <c r="BP57" s="36"/>
      <c r="CX57" s="36"/>
      <c r="DY57" s="38"/>
      <c r="DZ57" s="38"/>
      <c r="EA57" s="38"/>
      <c r="EB57" s="38"/>
      <c r="EC57" s="38"/>
      <c r="ED57" s="38"/>
      <c r="EE57" s="38"/>
      <c r="EF57" s="38"/>
      <c r="EG57" s="3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FBB5D-96B4-465F-9AE9-B3FC87202783}">
  <dimension ref="A1:AV61"/>
  <sheetViews>
    <sheetView zoomScale="80" zoomScaleNormal="80" workbookViewId="0">
      <selection activeCell="AE68" sqref="AE68"/>
    </sheetView>
  </sheetViews>
  <sheetFormatPr baseColWidth="10" defaultColWidth="8.83203125" defaultRowHeight="16" x14ac:dyDescent="0.2"/>
  <cols>
    <col min="1" max="1" width="26.83203125" customWidth="1"/>
    <col min="2" max="2" width="16.1640625" customWidth="1"/>
    <col min="3" max="3" width="11.6640625" customWidth="1"/>
    <col min="4" max="4" width="13.33203125" customWidth="1"/>
    <col min="5" max="5" width="16.1640625" customWidth="1"/>
    <col min="6" max="6" width="24.83203125" customWidth="1"/>
    <col min="7" max="7" width="13.33203125" customWidth="1"/>
    <col min="10" max="10" width="40.83203125" customWidth="1"/>
    <col min="11" max="12" width="26.1640625" customWidth="1"/>
    <col min="13" max="13" width="36.6640625" customWidth="1"/>
    <col min="14" max="14" width="39.33203125" customWidth="1"/>
    <col min="15" max="15" width="44.83203125" customWidth="1"/>
    <col min="16" max="16" width="45" customWidth="1"/>
    <col min="17" max="17" width="4.83203125" customWidth="1"/>
    <col min="18" max="18" width="29.33203125" customWidth="1"/>
    <col min="19" max="19" width="30.6640625" customWidth="1"/>
    <col min="20" max="20" width="30.83203125" customWidth="1"/>
    <col min="21" max="21" width="29.83203125" customWidth="1"/>
    <col min="22" max="22" width="7.1640625" customWidth="1"/>
    <col min="23" max="23" width="41.1640625" customWidth="1"/>
    <col min="24" max="24" width="33.6640625" customWidth="1"/>
    <col min="25" max="25" width="37.6640625" customWidth="1"/>
    <col min="26" max="26" width="39.83203125" customWidth="1"/>
    <col min="27" max="27" width="7.1640625" customWidth="1"/>
    <col min="28" max="28" width="36.1640625" customWidth="1"/>
    <col min="29" max="29" width="34.5" customWidth="1"/>
    <col min="30" max="30" width="39.5" customWidth="1"/>
    <col min="31" max="31" width="41.5" customWidth="1"/>
    <col min="32" max="32" width="48.6640625" customWidth="1"/>
    <col min="33" max="33" width="41.6640625" customWidth="1"/>
    <col min="34" max="34" width="48.6640625" customWidth="1"/>
    <col min="35" max="35" width="28.6640625" customWidth="1"/>
    <col min="36" max="36" width="28" customWidth="1"/>
    <col min="37" max="37" width="33" customWidth="1"/>
    <col min="38" max="38" width="34.83203125" customWidth="1"/>
    <col min="40" max="40" width="24.1640625" customWidth="1"/>
    <col min="41" max="41" width="21.6640625" customWidth="1"/>
    <col min="42" max="42" width="24.33203125" customWidth="1"/>
    <col min="43" max="43" width="25" customWidth="1"/>
    <col min="45" max="45" width="15.1640625" customWidth="1"/>
    <col min="46" max="46" width="16.33203125" customWidth="1"/>
    <col min="47" max="47" width="15.1640625" customWidth="1"/>
    <col min="48" max="48" width="13" customWidth="1"/>
  </cols>
  <sheetData>
    <row r="1" spans="1:48" ht="39" customHeight="1" x14ac:dyDescent="0.4">
      <c r="A1" s="14" t="s">
        <v>46</v>
      </c>
      <c r="B1" s="11"/>
      <c r="C1" s="11"/>
      <c r="D1" s="11"/>
      <c r="E1" s="11"/>
      <c r="F1" s="11"/>
      <c r="G1" s="11" t="s">
        <v>22</v>
      </c>
      <c r="H1" s="31"/>
      <c r="I1" s="79"/>
      <c r="J1" s="12" t="s">
        <v>148</v>
      </c>
      <c r="K1" s="11"/>
      <c r="L1" s="11" t="s">
        <v>398</v>
      </c>
      <c r="M1" s="11"/>
      <c r="N1" s="11" t="s">
        <v>292</v>
      </c>
      <c r="O1" s="11"/>
      <c r="P1" s="11"/>
      <c r="Q1" s="75"/>
      <c r="R1" s="25" t="s">
        <v>149</v>
      </c>
      <c r="S1" s="11" t="s">
        <v>156</v>
      </c>
      <c r="T1" s="11"/>
      <c r="U1" s="11"/>
      <c r="V1" s="75"/>
      <c r="W1" s="25" t="s">
        <v>234</v>
      </c>
      <c r="X1" s="11" t="s">
        <v>400</v>
      </c>
      <c r="Y1" s="11"/>
      <c r="Z1" s="11"/>
      <c r="AA1" s="75"/>
      <c r="AB1" s="78" t="s">
        <v>155</v>
      </c>
      <c r="AC1" s="11"/>
      <c r="AD1" s="11"/>
      <c r="AE1" s="11"/>
      <c r="AF1" s="65" t="s">
        <v>123</v>
      </c>
      <c r="AG1" s="11"/>
      <c r="AH1" s="11"/>
      <c r="AI1" s="78" t="s">
        <v>157</v>
      </c>
      <c r="AJ1" s="11"/>
      <c r="AK1" s="11"/>
      <c r="AL1" s="11"/>
      <c r="AM1" s="75"/>
      <c r="AN1" s="78" t="s">
        <v>171</v>
      </c>
      <c r="AP1" s="126" t="s">
        <v>235</v>
      </c>
      <c r="AR1" s="75"/>
      <c r="AS1" s="120" t="s">
        <v>305</v>
      </c>
      <c r="AT1" s="11"/>
      <c r="AU1" s="11"/>
      <c r="AV1" s="51"/>
    </row>
    <row r="2" spans="1:48" ht="34.75" customHeight="1" x14ac:dyDescent="0.25">
      <c r="A2" s="26"/>
      <c r="H2" s="20"/>
      <c r="I2" s="20"/>
      <c r="J2" s="1" t="s">
        <v>147</v>
      </c>
      <c r="L2" t="s">
        <v>399</v>
      </c>
      <c r="M2" t="s">
        <v>137</v>
      </c>
      <c r="N2" s="1" t="s">
        <v>135</v>
      </c>
      <c r="O2" t="s">
        <v>136</v>
      </c>
      <c r="P2" s="1" t="s">
        <v>135</v>
      </c>
      <c r="Q2" s="74"/>
      <c r="R2" s="1" t="s">
        <v>150</v>
      </c>
      <c r="S2" s="1" t="s">
        <v>151</v>
      </c>
      <c r="T2" s="1" t="s">
        <v>150</v>
      </c>
      <c r="U2" s="1" t="s">
        <v>151</v>
      </c>
      <c r="V2" s="75"/>
      <c r="W2" s="1" t="s">
        <v>150</v>
      </c>
      <c r="X2" s="1" t="s">
        <v>151</v>
      </c>
      <c r="Y2" s="1" t="s">
        <v>150</v>
      </c>
      <c r="Z2" s="1" t="s">
        <v>151</v>
      </c>
      <c r="AA2" s="75"/>
      <c r="AB2" s="1" t="s">
        <v>150</v>
      </c>
      <c r="AC2" s="1" t="s">
        <v>151</v>
      </c>
      <c r="AD2" s="1" t="s">
        <v>150</v>
      </c>
      <c r="AE2" s="1" t="s">
        <v>151</v>
      </c>
      <c r="AF2" s="64" t="s">
        <v>86</v>
      </c>
      <c r="AG2" s="37"/>
      <c r="AH2" s="37"/>
      <c r="AI2" s="1" t="s">
        <v>150</v>
      </c>
      <c r="AJ2" s="1" t="s">
        <v>151</v>
      </c>
      <c r="AK2" s="1" t="s">
        <v>150</v>
      </c>
      <c r="AL2" s="1" t="s">
        <v>151</v>
      </c>
      <c r="AM2" s="75"/>
      <c r="AN2" s="1" t="s">
        <v>150</v>
      </c>
      <c r="AO2" s="1" t="s">
        <v>151</v>
      </c>
      <c r="AP2" s="1" t="s">
        <v>150</v>
      </c>
      <c r="AQ2" s="1" t="s">
        <v>151</v>
      </c>
      <c r="AR2" s="75"/>
      <c r="AS2" s="192" t="s">
        <v>301</v>
      </c>
      <c r="AT2" s="193"/>
      <c r="AU2" s="191" t="s">
        <v>304</v>
      </c>
      <c r="AV2" s="191"/>
    </row>
    <row r="3" spans="1:48" x14ac:dyDescent="0.2">
      <c r="A3" s="15" t="s">
        <v>0</v>
      </c>
      <c r="B3" s="15" t="s">
        <v>9</v>
      </c>
      <c r="C3" s="15" t="s">
        <v>2</v>
      </c>
      <c r="D3" s="15" t="s">
        <v>1</v>
      </c>
      <c r="E3" s="15" t="s">
        <v>3</v>
      </c>
      <c r="F3" s="15" t="s">
        <v>6</v>
      </c>
      <c r="G3" s="15" t="s">
        <v>5</v>
      </c>
      <c r="H3" s="22"/>
      <c r="I3" s="22"/>
      <c r="J3" s="9" t="s">
        <v>74</v>
      </c>
      <c r="K3" s="9" t="s">
        <v>1</v>
      </c>
      <c r="L3" s="9"/>
      <c r="M3" s="9" t="s">
        <v>146</v>
      </c>
      <c r="N3" s="9" t="s">
        <v>145</v>
      </c>
      <c r="O3" s="68" t="s">
        <v>143</v>
      </c>
      <c r="P3" s="68" t="s">
        <v>144</v>
      </c>
      <c r="Q3" s="74"/>
      <c r="R3" s="9" t="s">
        <v>139</v>
      </c>
      <c r="S3" s="9" t="s">
        <v>140</v>
      </c>
      <c r="T3" s="68" t="s">
        <v>141</v>
      </c>
      <c r="U3" s="68" t="s">
        <v>142</v>
      </c>
      <c r="V3" s="75"/>
      <c r="W3" s="9" t="s">
        <v>139</v>
      </c>
      <c r="X3" s="9" t="s">
        <v>140</v>
      </c>
      <c r="Y3" s="68" t="s">
        <v>141</v>
      </c>
      <c r="Z3" s="68" t="s">
        <v>142</v>
      </c>
      <c r="AA3" s="74"/>
      <c r="AB3" s="9" t="s">
        <v>154</v>
      </c>
      <c r="AC3" s="9" t="s">
        <v>140</v>
      </c>
      <c r="AD3" s="68" t="s">
        <v>141</v>
      </c>
      <c r="AE3" s="68" t="s">
        <v>142</v>
      </c>
      <c r="AF3" s="10" t="s">
        <v>85</v>
      </c>
      <c r="AG3" s="10" t="s">
        <v>89</v>
      </c>
      <c r="AH3" s="10" t="s">
        <v>90</v>
      </c>
      <c r="AI3" s="9" t="s">
        <v>161</v>
      </c>
      <c r="AJ3" s="9" t="s">
        <v>160</v>
      </c>
      <c r="AK3" s="68" t="s">
        <v>158</v>
      </c>
      <c r="AL3" s="68" t="s">
        <v>159</v>
      </c>
      <c r="AM3" s="75"/>
      <c r="AN3" s="9" t="s">
        <v>161</v>
      </c>
      <c r="AO3" s="9" t="s">
        <v>160</v>
      </c>
      <c r="AP3" s="68" t="s">
        <v>158</v>
      </c>
      <c r="AQ3" s="68" t="s">
        <v>159</v>
      </c>
      <c r="AR3" s="75"/>
      <c r="AS3" s="10" t="s">
        <v>302</v>
      </c>
      <c r="AT3" s="10" t="s">
        <v>303</v>
      </c>
      <c r="AU3" s="41" t="s">
        <v>302</v>
      </c>
      <c r="AV3" s="10" t="s">
        <v>303</v>
      </c>
    </row>
    <row r="4" spans="1:48" ht="19" x14ac:dyDescent="0.25">
      <c r="A4" s="24" t="s">
        <v>75</v>
      </c>
      <c r="B4" s="25"/>
      <c r="C4" s="25"/>
      <c r="D4" s="25"/>
      <c r="E4" s="25"/>
      <c r="F4" s="25"/>
      <c r="G4" s="25"/>
      <c r="H4" s="22"/>
      <c r="I4" s="22"/>
      <c r="J4" s="9"/>
      <c r="K4" s="9"/>
      <c r="L4" s="9"/>
      <c r="M4" s="9"/>
      <c r="N4" s="9"/>
      <c r="O4" s="68"/>
      <c r="P4" s="68"/>
      <c r="Q4" s="74"/>
      <c r="R4" s="72"/>
      <c r="S4" s="72"/>
      <c r="T4" s="68"/>
      <c r="U4" s="68"/>
      <c r="V4" s="75"/>
      <c r="W4" s="72"/>
      <c r="X4" s="72"/>
      <c r="Y4" s="68"/>
      <c r="Z4" s="68"/>
      <c r="AA4" s="74"/>
      <c r="AB4" s="72"/>
      <c r="AC4" s="72"/>
      <c r="AD4" s="68"/>
      <c r="AE4" s="68"/>
      <c r="AF4" s="10"/>
      <c r="AG4" s="10" t="s">
        <v>88</v>
      </c>
      <c r="AH4" s="10"/>
      <c r="AI4" s="233">
        <v>-0.5</v>
      </c>
      <c r="AJ4" s="233">
        <v>-0.5</v>
      </c>
      <c r="AK4" s="233">
        <v>-0.5</v>
      </c>
      <c r="AL4" s="233">
        <v>-0.5</v>
      </c>
      <c r="AM4" s="75"/>
      <c r="AN4" s="233" t="s">
        <v>361</v>
      </c>
      <c r="AO4" s="233">
        <v>0.5</v>
      </c>
      <c r="AP4" s="233">
        <v>0.5</v>
      </c>
      <c r="AQ4" s="233">
        <v>0.5</v>
      </c>
      <c r="AR4" s="75"/>
      <c r="AS4" s="10"/>
      <c r="AT4" s="10"/>
      <c r="AU4" s="10"/>
      <c r="AV4" s="10" t="s">
        <v>93</v>
      </c>
    </row>
    <row r="5" spans="1:48" x14ac:dyDescent="0.2">
      <c r="A5" s="3" t="s">
        <v>4</v>
      </c>
      <c r="B5">
        <v>1168</v>
      </c>
      <c r="C5">
        <v>23</v>
      </c>
      <c r="D5">
        <v>1.67</v>
      </c>
      <c r="E5">
        <v>0.13</v>
      </c>
      <c r="F5">
        <v>152</v>
      </c>
      <c r="G5" t="s">
        <v>124</v>
      </c>
      <c r="H5" s="20"/>
      <c r="I5" s="20"/>
      <c r="J5">
        <v>152</v>
      </c>
      <c r="K5">
        <v>1.67</v>
      </c>
      <c r="L5">
        <f xml:space="preserve"> J5 * K5</f>
        <v>253.83999999999997</v>
      </c>
      <c r="M5">
        <v>157.69999999999999</v>
      </c>
      <c r="N5">
        <v>33.200000000000003</v>
      </c>
      <c r="O5">
        <v>17.53</v>
      </c>
      <c r="P5">
        <v>3.69</v>
      </c>
      <c r="Q5" s="75"/>
      <c r="R5" s="27">
        <f xml:space="preserve"> J5 * K5 * M5</f>
        <v>40030.567999999992</v>
      </c>
      <c r="S5" s="27">
        <f xml:space="preserve"> J5 * K5 * N5</f>
        <v>8427.4879999999994</v>
      </c>
      <c r="T5" s="27">
        <f xml:space="preserve"> J5 * K5 * O5</f>
        <v>4449.8152</v>
      </c>
      <c r="U5" s="27">
        <f xml:space="preserve"> J5 * K5 * P5</f>
        <v>936.66959999999995</v>
      </c>
      <c r="V5" s="75"/>
      <c r="W5" s="27">
        <f xml:space="preserve"> R5 *0.0021</f>
        <v>84.064192799999972</v>
      </c>
      <c r="X5" s="27">
        <f xml:space="preserve"> S5 * 0.0021</f>
        <v>17.697724799999996</v>
      </c>
      <c r="Y5" s="27">
        <f xml:space="preserve"> T5 * 0.0021</f>
        <v>9.3446119200000002</v>
      </c>
      <c r="Z5" s="27">
        <f xml:space="preserve"> U5 * 0.0021</f>
        <v>1.9670061599999997</v>
      </c>
      <c r="AA5" s="75"/>
      <c r="AB5" s="27">
        <f t="shared" ref="AB5:AB22" si="0" xml:space="preserve"> R5 - W5</f>
        <v>39946.503807199995</v>
      </c>
      <c r="AC5" s="27">
        <f t="shared" ref="AC5:AC22" si="1">S5 - X5</f>
        <v>8409.7902751999991</v>
      </c>
      <c r="AD5" s="27">
        <f t="shared" ref="AD5:AD22" si="2" xml:space="preserve"> T5-Y5</f>
        <v>4440.4705880800002</v>
      </c>
      <c r="AE5" s="27">
        <f t="shared" ref="AE5:AE22" si="3" xml:space="preserve"> U5 - Z5</f>
        <v>934.70259383999996</v>
      </c>
      <c r="AF5">
        <v>160</v>
      </c>
      <c r="AG5" s="34">
        <f>$AF5/8760</f>
        <v>1.8264840182648401E-2</v>
      </c>
      <c r="AH5" s="34">
        <f t="shared" ref="AH5:AH22" si="4">1- AG5</f>
        <v>0.9817351598173516</v>
      </c>
      <c r="AI5" s="27">
        <f xml:space="preserve"> AB5 * AG5 / 2</f>
        <v>364.80825394703191</v>
      </c>
      <c r="AJ5" s="27">
        <f xml:space="preserve"> AC5 * AG5 / 2</f>
        <v>76.80173767305935</v>
      </c>
      <c r="AK5" s="27">
        <f xml:space="preserve"> AD5 * AG5 /2</f>
        <v>40.552242813515981</v>
      </c>
      <c r="AL5" s="27">
        <f xml:space="preserve"> AE5 *AG5 /2</f>
        <v>8.5360967473972593</v>
      </c>
      <c r="AM5" s="75"/>
      <c r="AN5" s="27">
        <f>AB5 * AH5 + AI5</f>
        <v>39581.695553252968</v>
      </c>
      <c r="AO5" s="27">
        <f xml:space="preserve"> AC5 * AH5 + AJ5</f>
        <v>8332.9885375269387</v>
      </c>
      <c r="AP5" s="27">
        <f xml:space="preserve"> AD5 * AH5 + AK5</f>
        <v>4399.9183452664847</v>
      </c>
      <c r="AQ5" s="27">
        <f xml:space="preserve"> AE5 * AH5 + AL5</f>
        <v>926.16649709260264</v>
      </c>
      <c r="AR5" s="74" t="s">
        <v>376</v>
      </c>
      <c r="AS5" s="142">
        <f xml:space="preserve"> W23 + AI23</f>
        <v>5837.7686071595999</v>
      </c>
      <c r="AT5" s="142">
        <f xml:space="preserve"> X23 + AJ23</f>
        <v>1229.0039172967579</v>
      </c>
      <c r="AU5" s="142">
        <f xml:space="preserve"> Y23 + AK23</f>
        <v>648.92887560880024</v>
      </c>
      <c r="AV5" s="142">
        <f xml:space="preserve"> Z23 + AL23</f>
        <v>136.59712213328424</v>
      </c>
    </row>
    <row r="6" spans="1:48" x14ac:dyDescent="0.2">
      <c r="A6" s="3" t="s">
        <v>8</v>
      </c>
      <c r="B6">
        <v>1128</v>
      </c>
      <c r="C6">
        <v>41</v>
      </c>
      <c r="D6">
        <v>2.71</v>
      </c>
      <c r="E6">
        <v>0.65</v>
      </c>
      <c r="F6">
        <v>798</v>
      </c>
      <c r="G6" t="s">
        <v>11</v>
      </c>
      <c r="H6" s="20"/>
      <c r="I6" s="20"/>
      <c r="J6">
        <v>798</v>
      </c>
      <c r="K6">
        <v>0.65</v>
      </c>
      <c r="L6">
        <f t="shared" ref="L6:L22" si="5" xml:space="preserve"> J6 * K6</f>
        <v>518.70000000000005</v>
      </c>
      <c r="M6">
        <v>157.69999999999999</v>
      </c>
      <c r="N6">
        <v>33.200000000000003</v>
      </c>
      <c r="O6">
        <v>17.53</v>
      </c>
      <c r="P6">
        <v>3.69</v>
      </c>
      <c r="Q6" s="75"/>
      <c r="R6" s="27">
        <f t="shared" ref="R6:R22" si="6" xml:space="preserve"> J6 * K6 * M6</f>
        <v>81798.990000000005</v>
      </c>
      <c r="S6" s="27">
        <f t="shared" ref="S6:S22" si="7" xml:space="preserve"> J6 * K6 * N6</f>
        <v>17220.840000000004</v>
      </c>
      <c r="T6" s="27">
        <f t="shared" ref="T6:T22" si="8" xml:space="preserve"> J6 * K6 * O6</f>
        <v>9092.8110000000015</v>
      </c>
      <c r="U6" s="27">
        <f t="shared" ref="U6:U22" si="9" xml:space="preserve"> J6 * K6 * P6</f>
        <v>1914.0030000000002</v>
      </c>
      <c r="V6" s="75"/>
      <c r="W6" s="27">
        <f t="shared" ref="W6:W22" si="10" xml:space="preserve"> R6 *0.0021</f>
        <v>171.77787900000001</v>
      </c>
      <c r="X6" s="27">
        <f t="shared" ref="X6:X22" si="11" xml:space="preserve"> S6 * 0.0021</f>
        <v>36.163764000000008</v>
      </c>
      <c r="Y6" s="27">
        <f t="shared" ref="Y6:Y22" si="12" xml:space="preserve"> T6 * 0.0021</f>
        <v>19.094903100000003</v>
      </c>
      <c r="Z6" s="27">
        <f t="shared" ref="Z6:Z22" si="13" xml:space="preserve"> U6 * 0.0021</f>
        <v>4.0194063</v>
      </c>
      <c r="AA6" s="75"/>
      <c r="AB6" s="27">
        <f t="shared" si="0"/>
        <v>81627.212121000004</v>
      </c>
      <c r="AC6" s="27">
        <f t="shared" si="1"/>
        <v>17184.676236000003</v>
      </c>
      <c r="AD6" s="27">
        <f t="shared" si="2"/>
        <v>9073.7160969000015</v>
      </c>
      <c r="AE6" s="27">
        <f t="shared" si="3"/>
        <v>1909.9835937000003</v>
      </c>
      <c r="AF6">
        <v>0</v>
      </c>
      <c r="AG6" s="34">
        <f t="shared" ref="AG6:AG22" si="14">$AF6/8760</f>
        <v>0</v>
      </c>
      <c r="AH6" s="34">
        <f t="shared" si="4"/>
        <v>1</v>
      </c>
      <c r="AI6" s="27">
        <f t="shared" ref="AI6:AI22" si="15" xml:space="preserve"> AB6 * AG6 / 2</f>
        <v>0</v>
      </c>
      <c r="AJ6" s="27">
        <f t="shared" ref="AJ6:AJ22" si="16" xml:space="preserve"> AC6 * AG6 / 2</f>
        <v>0</v>
      </c>
      <c r="AK6" s="27">
        <f t="shared" ref="AK6:AK22" si="17" xml:space="preserve"> AD6 * AG6 /2</f>
        <v>0</v>
      </c>
      <c r="AL6" s="27">
        <f t="shared" ref="AL6:AL22" si="18" xml:space="preserve"> AE6 *AG6 /2</f>
        <v>0</v>
      </c>
      <c r="AM6" s="75"/>
      <c r="AN6" s="27">
        <f t="shared" ref="AN6:AN22" si="19">AB6 * AH6 + AI6</f>
        <v>81627.212121000004</v>
      </c>
      <c r="AO6" s="27">
        <f t="shared" ref="AO6:AO22" si="20" xml:space="preserve"> AC6 * AH6 + AJ6</f>
        <v>17184.676236000003</v>
      </c>
      <c r="AP6" s="27">
        <f t="shared" ref="AP6:AP22" si="21" xml:space="preserve"> AD6 * AH6 + AK6</f>
        <v>9073.7160969000015</v>
      </c>
      <c r="AQ6" s="27">
        <f t="shared" ref="AQ6:AQ22" si="22" xml:space="preserve"> AE6 * AH6 + AL6</f>
        <v>1909.9835937000003</v>
      </c>
      <c r="AR6" s="74" t="s">
        <v>377</v>
      </c>
      <c r="AS6" s="1">
        <v>5.84</v>
      </c>
      <c r="AU6" s="1">
        <v>0.65</v>
      </c>
    </row>
    <row r="7" spans="1:48" x14ac:dyDescent="0.2">
      <c r="A7" s="3" t="s">
        <v>10</v>
      </c>
      <c r="B7">
        <v>1869</v>
      </c>
      <c r="C7">
        <v>704</v>
      </c>
      <c r="D7">
        <v>2.25</v>
      </c>
      <c r="F7">
        <v>704</v>
      </c>
      <c r="G7" t="s">
        <v>125</v>
      </c>
      <c r="H7" s="20"/>
      <c r="I7" s="20"/>
      <c r="J7">
        <v>704</v>
      </c>
      <c r="K7">
        <v>2.25</v>
      </c>
      <c r="L7">
        <f t="shared" si="5"/>
        <v>1584</v>
      </c>
      <c r="M7">
        <v>157.69999999999999</v>
      </c>
      <c r="N7">
        <v>33.200000000000003</v>
      </c>
      <c r="O7">
        <v>17.53</v>
      </c>
      <c r="P7">
        <v>3.69</v>
      </c>
      <c r="Q7" s="75"/>
      <c r="R7" s="27">
        <f t="shared" si="6"/>
        <v>249796.8</v>
      </c>
      <c r="S7" s="27">
        <f t="shared" si="7"/>
        <v>52588.800000000003</v>
      </c>
      <c r="T7" s="27">
        <f t="shared" si="8"/>
        <v>27767.52</v>
      </c>
      <c r="U7" s="27">
        <f t="shared" si="9"/>
        <v>5844.96</v>
      </c>
      <c r="V7" s="75"/>
      <c r="W7" s="27">
        <f t="shared" si="10"/>
        <v>524.57327999999995</v>
      </c>
      <c r="X7" s="27">
        <f t="shared" si="11"/>
        <v>110.43648</v>
      </c>
      <c r="Y7" s="27">
        <f t="shared" si="12"/>
        <v>58.311791999999997</v>
      </c>
      <c r="Z7" s="27">
        <f t="shared" si="13"/>
        <v>12.274415999999999</v>
      </c>
      <c r="AA7" s="75"/>
      <c r="AB7" s="27">
        <f t="shared" si="0"/>
        <v>249272.22671999998</v>
      </c>
      <c r="AC7" s="27">
        <f t="shared" si="1"/>
        <v>52478.363520000006</v>
      </c>
      <c r="AD7" s="27">
        <f t="shared" si="2"/>
        <v>27709.208208</v>
      </c>
      <c r="AE7" s="27">
        <f t="shared" si="3"/>
        <v>5832.6855839999998</v>
      </c>
      <c r="AF7">
        <v>4</v>
      </c>
      <c r="AG7" s="34">
        <f t="shared" si="14"/>
        <v>4.5662100456621003E-4</v>
      </c>
      <c r="AH7" s="34">
        <f t="shared" si="4"/>
        <v>0.99954337899543377</v>
      </c>
      <c r="AI7" s="27">
        <f t="shared" si="15"/>
        <v>56.911467287671229</v>
      </c>
      <c r="AJ7" s="27">
        <f t="shared" si="16"/>
        <v>11.981361534246576</v>
      </c>
      <c r="AK7" s="27">
        <f t="shared" si="17"/>
        <v>6.3263032438356159</v>
      </c>
      <c r="AL7" s="27">
        <f t="shared" si="18"/>
        <v>1.3316633753424656</v>
      </c>
      <c r="AM7" s="75"/>
      <c r="AN7" s="27">
        <f t="shared" si="19"/>
        <v>249215.31525271229</v>
      </c>
      <c r="AO7" s="27">
        <f t="shared" si="20"/>
        <v>52466.382158465763</v>
      </c>
      <c r="AP7" s="27">
        <f t="shared" si="21"/>
        <v>27702.881904756166</v>
      </c>
      <c r="AQ7" s="27">
        <f t="shared" si="22"/>
        <v>5831.3539206246569</v>
      </c>
      <c r="AR7" s="75"/>
    </row>
    <row r="8" spans="1:48" x14ac:dyDescent="0.2">
      <c r="A8" s="3" t="s">
        <v>12</v>
      </c>
      <c r="B8">
        <v>1239</v>
      </c>
      <c r="C8">
        <v>1221</v>
      </c>
      <c r="D8">
        <v>0.17</v>
      </c>
      <c r="F8">
        <v>211</v>
      </c>
      <c r="G8" t="s">
        <v>126</v>
      </c>
      <c r="H8" s="20"/>
      <c r="I8" s="20"/>
      <c r="J8">
        <v>211</v>
      </c>
      <c r="K8">
        <v>0.17</v>
      </c>
      <c r="L8">
        <f t="shared" si="5"/>
        <v>35.870000000000005</v>
      </c>
      <c r="M8">
        <v>157.69999999999999</v>
      </c>
      <c r="N8">
        <v>33.200000000000003</v>
      </c>
      <c r="O8">
        <v>17.53</v>
      </c>
      <c r="P8">
        <v>3.69</v>
      </c>
      <c r="Q8" s="75"/>
      <c r="R8" s="27">
        <f t="shared" si="6"/>
        <v>5656.6990000000005</v>
      </c>
      <c r="S8" s="27">
        <f t="shared" si="7"/>
        <v>1190.8840000000002</v>
      </c>
      <c r="T8" s="27">
        <f t="shared" si="8"/>
        <v>628.80110000000013</v>
      </c>
      <c r="U8" s="27">
        <f t="shared" si="9"/>
        <v>132.36030000000002</v>
      </c>
      <c r="V8" s="75"/>
      <c r="W8" s="27">
        <f t="shared" si="10"/>
        <v>11.879067900000001</v>
      </c>
      <c r="X8" s="27">
        <f t="shared" si="11"/>
        <v>2.5008564000000004</v>
      </c>
      <c r="Y8" s="27">
        <f t="shared" si="12"/>
        <v>1.3204823100000003</v>
      </c>
      <c r="Z8" s="27">
        <f t="shared" si="13"/>
        <v>0.27795663000000004</v>
      </c>
      <c r="AA8" s="75"/>
      <c r="AB8" s="27">
        <f t="shared" si="0"/>
        <v>5644.8199321000002</v>
      </c>
      <c r="AC8" s="27">
        <f t="shared" si="1"/>
        <v>1188.3831436000003</v>
      </c>
      <c r="AD8" s="27">
        <f t="shared" si="2"/>
        <v>627.48061769000014</v>
      </c>
      <c r="AE8" s="27">
        <f t="shared" si="3"/>
        <v>132.08234337000002</v>
      </c>
      <c r="AF8">
        <v>266</v>
      </c>
      <c r="AG8" s="34">
        <f t="shared" si="14"/>
        <v>3.0365296803652967E-2</v>
      </c>
      <c r="AH8" s="34">
        <f t="shared" si="4"/>
        <v>0.96963470319634704</v>
      </c>
      <c r="AI8" s="27">
        <f t="shared" si="15"/>
        <v>85.703316320696345</v>
      </c>
      <c r="AJ8" s="27">
        <f t="shared" si="16"/>
        <v>18.042803435936076</v>
      </c>
      <c r="AK8" s="27">
        <f t="shared" si="17"/>
        <v>9.5268175973481757</v>
      </c>
      <c r="AL8" s="27">
        <f t="shared" si="18"/>
        <v>2.0053597794760276</v>
      </c>
      <c r="AM8" s="75"/>
      <c r="AN8" s="27">
        <f t="shared" si="19"/>
        <v>5559.1166157793032</v>
      </c>
      <c r="AO8" s="27">
        <f t="shared" si="20"/>
        <v>1170.3403401640642</v>
      </c>
      <c r="AP8" s="27">
        <f t="shared" si="21"/>
        <v>617.95380009265205</v>
      </c>
      <c r="AQ8" s="27">
        <f t="shared" si="22"/>
        <v>130.07698359052401</v>
      </c>
      <c r="AR8" s="75"/>
    </row>
    <row r="9" spans="1:48" x14ac:dyDescent="0.2">
      <c r="A9" s="3" t="s">
        <v>17</v>
      </c>
      <c r="B9">
        <v>1700.5</v>
      </c>
      <c r="C9">
        <v>744</v>
      </c>
      <c r="D9">
        <v>0.74</v>
      </c>
      <c r="F9">
        <v>1258</v>
      </c>
      <c r="G9" t="s">
        <v>126</v>
      </c>
      <c r="H9" s="20"/>
      <c r="I9" s="20"/>
      <c r="J9">
        <v>1258</v>
      </c>
      <c r="K9">
        <v>0.74</v>
      </c>
      <c r="L9">
        <f t="shared" si="5"/>
        <v>930.92</v>
      </c>
      <c r="M9">
        <v>157.69999999999999</v>
      </c>
      <c r="N9">
        <v>33.200000000000003</v>
      </c>
      <c r="O9">
        <v>17.53</v>
      </c>
      <c r="P9">
        <v>3.69</v>
      </c>
      <c r="Q9" s="75"/>
      <c r="R9" s="27">
        <f t="shared" si="6"/>
        <v>146806.08399999997</v>
      </c>
      <c r="S9" s="27">
        <f t="shared" si="7"/>
        <v>30906.544000000002</v>
      </c>
      <c r="T9" s="27">
        <f t="shared" si="8"/>
        <v>16319.027599999999</v>
      </c>
      <c r="U9" s="27">
        <f t="shared" si="9"/>
        <v>3435.0947999999999</v>
      </c>
      <c r="V9" s="75"/>
      <c r="W9" s="27">
        <f t="shared" si="10"/>
        <v>308.29277639999992</v>
      </c>
      <c r="X9" s="27">
        <f t="shared" si="11"/>
        <v>64.903742399999999</v>
      </c>
      <c r="Y9" s="27">
        <f t="shared" si="12"/>
        <v>34.269957959999999</v>
      </c>
      <c r="Z9" s="27">
        <f t="shared" si="13"/>
        <v>7.2136990799999996</v>
      </c>
      <c r="AA9" s="75"/>
      <c r="AB9" s="27">
        <f t="shared" si="0"/>
        <v>146497.79122359998</v>
      </c>
      <c r="AC9" s="27">
        <f t="shared" si="1"/>
        <v>30841.6402576</v>
      </c>
      <c r="AD9" s="27">
        <f t="shared" si="2"/>
        <v>16284.75764204</v>
      </c>
      <c r="AE9" s="27">
        <f t="shared" si="3"/>
        <v>3427.8811009199999</v>
      </c>
      <c r="AF9">
        <v>80</v>
      </c>
      <c r="AG9" s="34">
        <f t="shared" si="14"/>
        <v>9.1324200913242004E-3</v>
      </c>
      <c r="AH9" s="34">
        <f t="shared" si="4"/>
        <v>0.9908675799086758</v>
      </c>
      <c r="AI9" s="27">
        <f t="shared" si="15"/>
        <v>668.93968595251135</v>
      </c>
      <c r="AJ9" s="27">
        <f t="shared" si="16"/>
        <v>140.82940756894976</v>
      </c>
      <c r="AK9" s="27">
        <f t="shared" si="17"/>
        <v>74.359623936255701</v>
      </c>
      <c r="AL9" s="27">
        <f t="shared" si="18"/>
        <v>15.652425118356163</v>
      </c>
      <c r="AM9" s="75"/>
      <c r="AN9" s="27">
        <f t="shared" si="19"/>
        <v>145828.85153764745</v>
      </c>
      <c r="AO9" s="27">
        <f t="shared" si="20"/>
        <v>30700.810850031048</v>
      </c>
      <c r="AP9" s="27">
        <f t="shared" si="21"/>
        <v>16210.398018103744</v>
      </c>
      <c r="AQ9" s="27">
        <f t="shared" si="22"/>
        <v>3412.2286758016435</v>
      </c>
      <c r="AR9" s="75"/>
    </row>
    <row r="10" spans="1:48" x14ac:dyDescent="0.2">
      <c r="A10" s="3" t="s">
        <v>19</v>
      </c>
      <c r="B10">
        <v>1688</v>
      </c>
      <c r="C10">
        <v>152.5</v>
      </c>
      <c r="D10">
        <v>1.29</v>
      </c>
      <c r="E10">
        <v>0.35299999999999998</v>
      </c>
      <c r="F10">
        <v>596</v>
      </c>
      <c r="G10" t="s">
        <v>124</v>
      </c>
      <c r="H10" s="20"/>
      <c r="I10" s="20"/>
      <c r="J10">
        <v>596</v>
      </c>
      <c r="K10">
        <v>0.35</v>
      </c>
      <c r="L10">
        <f t="shared" si="5"/>
        <v>208.6</v>
      </c>
      <c r="M10">
        <v>157.69999999999999</v>
      </c>
      <c r="N10">
        <v>33.200000000000003</v>
      </c>
      <c r="O10">
        <v>17.53</v>
      </c>
      <c r="P10">
        <v>3.69</v>
      </c>
      <c r="Q10" s="75"/>
      <c r="R10" s="27">
        <f t="shared" si="6"/>
        <v>32896.219999999994</v>
      </c>
      <c r="S10" s="27">
        <f t="shared" si="7"/>
        <v>6925.52</v>
      </c>
      <c r="T10" s="27">
        <f t="shared" si="8"/>
        <v>3656.7580000000003</v>
      </c>
      <c r="U10" s="27">
        <f t="shared" si="9"/>
        <v>769.73399999999992</v>
      </c>
      <c r="V10" s="75"/>
      <c r="W10" s="27">
        <f t="shared" si="10"/>
        <v>69.082061999999979</v>
      </c>
      <c r="X10" s="27">
        <f t="shared" si="11"/>
        <v>14.543592</v>
      </c>
      <c r="Y10" s="27">
        <f t="shared" si="12"/>
        <v>7.6791917999999999</v>
      </c>
      <c r="Z10" s="27">
        <f t="shared" si="13"/>
        <v>1.6164413999999998</v>
      </c>
      <c r="AA10" s="75"/>
      <c r="AB10" s="27">
        <f t="shared" si="0"/>
        <v>32827.137937999993</v>
      </c>
      <c r="AC10" s="27">
        <f t="shared" si="1"/>
        <v>6910.9764080000004</v>
      </c>
      <c r="AD10" s="27">
        <f t="shared" si="2"/>
        <v>3649.0788082000004</v>
      </c>
      <c r="AE10" s="27">
        <f t="shared" si="3"/>
        <v>768.11755859999994</v>
      </c>
      <c r="AF10">
        <v>332</v>
      </c>
      <c r="AG10" s="34">
        <f t="shared" si="14"/>
        <v>3.7899543378995433E-2</v>
      </c>
      <c r="AH10" s="34">
        <f t="shared" si="4"/>
        <v>0.96210045662100452</v>
      </c>
      <c r="AI10" s="27">
        <f t="shared" si="15"/>
        <v>622.06676914474872</v>
      </c>
      <c r="AJ10" s="27">
        <f t="shared" si="16"/>
        <v>130.96142508310504</v>
      </c>
      <c r="AK10" s="27">
        <f t="shared" si="17"/>
        <v>69.149210292374434</v>
      </c>
      <c r="AL10" s="27">
        <f t="shared" si="18"/>
        <v>14.555652366164383</v>
      </c>
      <c r="AM10" s="75"/>
      <c r="AN10" s="27">
        <f t="shared" si="19"/>
        <v>32205.071168855244</v>
      </c>
      <c r="AO10" s="27">
        <f t="shared" si="20"/>
        <v>6780.014982916895</v>
      </c>
      <c r="AP10" s="27">
        <f t="shared" si="21"/>
        <v>3579.9295979076255</v>
      </c>
      <c r="AQ10" s="27">
        <f t="shared" si="22"/>
        <v>753.56190623383554</v>
      </c>
      <c r="AR10" s="75"/>
    </row>
    <row r="11" spans="1:48" x14ac:dyDescent="0.2">
      <c r="A11" s="3" t="s">
        <v>20</v>
      </c>
      <c r="B11">
        <v>2122</v>
      </c>
      <c r="C11">
        <v>15</v>
      </c>
      <c r="D11">
        <v>0.24</v>
      </c>
      <c r="E11">
        <v>0.317</v>
      </c>
      <c r="F11">
        <v>673</v>
      </c>
      <c r="G11" t="s">
        <v>124</v>
      </c>
      <c r="H11" s="20"/>
      <c r="I11" s="20"/>
      <c r="J11">
        <v>673</v>
      </c>
      <c r="K11">
        <v>0.32</v>
      </c>
      <c r="L11">
        <f t="shared" si="5"/>
        <v>215.36</v>
      </c>
      <c r="M11">
        <v>157.69999999999999</v>
      </c>
      <c r="N11">
        <v>33.200000000000003</v>
      </c>
      <c r="O11">
        <v>17.53</v>
      </c>
      <c r="P11">
        <v>3.69</v>
      </c>
      <c r="Q11" s="75"/>
      <c r="R11" s="27">
        <f t="shared" si="6"/>
        <v>33962.271999999997</v>
      </c>
      <c r="S11" s="27">
        <f t="shared" si="7"/>
        <v>7149.9520000000011</v>
      </c>
      <c r="T11" s="27">
        <f t="shared" si="8"/>
        <v>3775.2608000000005</v>
      </c>
      <c r="U11" s="27">
        <f t="shared" si="9"/>
        <v>794.67840000000001</v>
      </c>
      <c r="V11" s="75"/>
      <c r="W11" s="27">
        <f t="shared" si="10"/>
        <v>71.320771199999996</v>
      </c>
      <c r="X11" s="27">
        <f t="shared" si="11"/>
        <v>15.014899200000002</v>
      </c>
      <c r="Y11" s="27">
        <f t="shared" si="12"/>
        <v>7.9280476800000006</v>
      </c>
      <c r="Z11" s="27">
        <f t="shared" si="13"/>
        <v>1.66882464</v>
      </c>
      <c r="AA11" s="75"/>
      <c r="AB11" s="27">
        <f t="shared" si="0"/>
        <v>33890.951228799997</v>
      </c>
      <c r="AC11" s="27">
        <f t="shared" si="1"/>
        <v>7134.9371008000007</v>
      </c>
      <c r="AD11" s="27">
        <f t="shared" si="2"/>
        <v>3767.3327523200005</v>
      </c>
      <c r="AE11" s="27">
        <f t="shared" si="3"/>
        <v>793.00957535999999</v>
      </c>
      <c r="AF11">
        <v>0</v>
      </c>
      <c r="AG11" s="34">
        <f t="shared" si="14"/>
        <v>0</v>
      </c>
      <c r="AH11" s="34">
        <f t="shared" si="4"/>
        <v>1</v>
      </c>
      <c r="AI11" s="27">
        <f t="shared" si="15"/>
        <v>0</v>
      </c>
      <c r="AJ11" s="27">
        <f t="shared" si="16"/>
        <v>0</v>
      </c>
      <c r="AK11" s="27">
        <f t="shared" si="17"/>
        <v>0</v>
      </c>
      <c r="AL11" s="27">
        <f t="shared" si="18"/>
        <v>0</v>
      </c>
      <c r="AM11" s="75"/>
      <c r="AN11" s="27">
        <f t="shared" si="19"/>
        <v>33890.951228799997</v>
      </c>
      <c r="AO11" s="27">
        <f t="shared" si="20"/>
        <v>7134.9371008000007</v>
      </c>
      <c r="AP11" s="27">
        <f t="shared" si="21"/>
        <v>3767.3327523200005</v>
      </c>
      <c r="AQ11" s="27">
        <f t="shared" si="22"/>
        <v>793.00957535999999</v>
      </c>
      <c r="AR11" s="75"/>
    </row>
    <row r="12" spans="1:48" x14ac:dyDescent="0.2">
      <c r="A12" s="3" t="s">
        <v>21</v>
      </c>
      <c r="B12">
        <v>2122</v>
      </c>
      <c r="C12">
        <v>15</v>
      </c>
      <c r="D12">
        <v>1.36</v>
      </c>
      <c r="E12">
        <v>0.19</v>
      </c>
      <c r="F12">
        <v>403</v>
      </c>
      <c r="G12" t="s">
        <v>124</v>
      </c>
      <c r="H12" s="20"/>
      <c r="I12" s="20"/>
      <c r="J12">
        <v>403</v>
      </c>
      <c r="K12">
        <v>0.19</v>
      </c>
      <c r="L12">
        <f t="shared" si="5"/>
        <v>76.570000000000007</v>
      </c>
      <c r="M12">
        <v>157.69999999999999</v>
      </c>
      <c r="N12">
        <v>33.200000000000003</v>
      </c>
      <c r="O12">
        <v>17.53</v>
      </c>
      <c r="P12">
        <v>3.69</v>
      </c>
      <c r="Q12" s="75"/>
      <c r="R12" s="27">
        <f t="shared" si="6"/>
        <v>12075.089</v>
      </c>
      <c r="S12" s="27">
        <f t="shared" si="7"/>
        <v>2542.1240000000003</v>
      </c>
      <c r="T12" s="27">
        <f t="shared" si="8"/>
        <v>1342.2721000000001</v>
      </c>
      <c r="U12" s="27">
        <f t="shared" si="9"/>
        <v>282.54330000000004</v>
      </c>
      <c r="V12" s="75"/>
      <c r="W12" s="27">
        <f t="shared" si="10"/>
        <v>25.357686899999997</v>
      </c>
      <c r="X12" s="27">
        <f t="shared" si="11"/>
        <v>5.3384603999999998</v>
      </c>
      <c r="Y12" s="27">
        <f t="shared" si="12"/>
        <v>2.8187714100000001</v>
      </c>
      <c r="Z12" s="27">
        <f t="shared" si="13"/>
        <v>0.5933409300000001</v>
      </c>
      <c r="AA12" s="75"/>
      <c r="AB12" s="27">
        <f t="shared" si="0"/>
        <v>12049.731313099999</v>
      </c>
      <c r="AC12" s="27">
        <f t="shared" si="1"/>
        <v>2536.7855396000004</v>
      </c>
      <c r="AD12" s="27">
        <f t="shared" si="2"/>
        <v>1339.4533285900002</v>
      </c>
      <c r="AE12" s="27">
        <f t="shared" si="3"/>
        <v>281.94995907000003</v>
      </c>
      <c r="AF12">
        <v>10</v>
      </c>
      <c r="AG12" s="34">
        <f t="shared" si="14"/>
        <v>1.1415525114155251E-3</v>
      </c>
      <c r="AH12" s="34">
        <f t="shared" si="4"/>
        <v>0.99885844748858443</v>
      </c>
      <c r="AI12" s="27">
        <f t="shared" si="15"/>
        <v>6.8777005211757984</v>
      </c>
      <c r="AJ12" s="27">
        <f t="shared" si="16"/>
        <v>1.4479369518264842</v>
      </c>
      <c r="AK12" s="27">
        <f t="shared" si="17"/>
        <v>0.76452815558789966</v>
      </c>
      <c r="AL12" s="27">
        <f t="shared" si="18"/>
        <v>0.16093034193493153</v>
      </c>
      <c r="AM12" s="75"/>
      <c r="AN12" s="27">
        <f t="shared" si="19"/>
        <v>12042.853612578823</v>
      </c>
      <c r="AO12" s="27">
        <f t="shared" si="20"/>
        <v>2535.3376026481742</v>
      </c>
      <c r="AP12" s="27">
        <f t="shared" si="21"/>
        <v>1338.6888004344121</v>
      </c>
      <c r="AQ12" s="27">
        <f t="shared" si="22"/>
        <v>281.78902872806509</v>
      </c>
      <c r="AR12" s="75"/>
    </row>
    <row r="13" spans="1:48" x14ac:dyDescent="0.2">
      <c r="A13" s="3" t="s">
        <v>23</v>
      </c>
      <c r="B13">
        <v>1479</v>
      </c>
      <c r="C13">
        <v>8</v>
      </c>
      <c r="D13">
        <v>1.01</v>
      </c>
      <c r="F13">
        <v>8</v>
      </c>
      <c r="G13" t="s">
        <v>30</v>
      </c>
      <c r="H13" s="20"/>
      <c r="I13" s="20"/>
      <c r="J13">
        <v>8</v>
      </c>
      <c r="K13">
        <v>1.01</v>
      </c>
      <c r="L13">
        <f t="shared" si="5"/>
        <v>8.08</v>
      </c>
      <c r="M13">
        <v>157.69999999999999</v>
      </c>
      <c r="N13">
        <v>33.200000000000003</v>
      </c>
      <c r="O13">
        <v>17.53</v>
      </c>
      <c r="P13">
        <v>3.69</v>
      </c>
      <c r="Q13" s="75"/>
      <c r="R13" s="27">
        <f t="shared" si="6"/>
        <v>1274.2159999999999</v>
      </c>
      <c r="S13" s="27">
        <f t="shared" si="7"/>
        <v>268.25600000000003</v>
      </c>
      <c r="T13" s="27">
        <f t="shared" si="8"/>
        <v>141.64240000000001</v>
      </c>
      <c r="U13" s="27">
        <f t="shared" si="9"/>
        <v>29.815200000000001</v>
      </c>
      <c r="V13" s="75"/>
      <c r="W13" s="27">
        <f t="shared" si="10"/>
        <v>2.6758535999999995</v>
      </c>
      <c r="X13" s="27">
        <f t="shared" si="11"/>
        <v>0.56333759999999999</v>
      </c>
      <c r="Y13" s="27">
        <f t="shared" si="12"/>
        <v>0.29744904</v>
      </c>
      <c r="Z13" s="27">
        <f t="shared" si="13"/>
        <v>6.2611920000000001E-2</v>
      </c>
      <c r="AA13" s="75"/>
      <c r="AB13" s="27">
        <f t="shared" si="0"/>
        <v>1271.5401463999999</v>
      </c>
      <c r="AC13" s="27">
        <f t="shared" si="1"/>
        <v>267.69266240000002</v>
      </c>
      <c r="AD13" s="27">
        <f t="shared" si="2"/>
        <v>141.34495096000001</v>
      </c>
      <c r="AE13" s="27">
        <f t="shared" si="3"/>
        <v>29.752588080000002</v>
      </c>
      <c r="AF13">
        <v>886</v>
      </c>
      <c r="AG13" s="34">
        <f t="shared" si="14"/>
        <v>0.10114155251141553</v>
      </c>
      <c r="AH13" s="34">
        <f t="shared" si="4"/>
        <v>0.89885844748858446</v>
      </c>
      <c r="AI13" s="27">
        <f t="shared" si="15"/>
        <v>64.302772243744286</v>
      </c>
      <c r="AJ13" s="27">
        <f t="shared" si="16"/>
        <v>13.537425735525115</v>
      </c>
      <c r="AK13" s="27">
        <f t="shared" si="17"/>
        <v>7.1479238898721471</v>
      </c>
      <c r="AL13" s="27">
        <f t="shared" si="18"/>
        <v>1.5046114748219179</v>
      </c>
      <c r="AM13" s="75"/>
      <c r="AN13" s="27">
        <f t="shared" si="19"/>
        <v>1207.2373741562558</v>
      </c>
      <c r="AO13" s="27">
        <f t="shared" si="20"/>
        <v>254.1552366644749</v>
      </c>
      <c r="AP13" s="27">
        <f t="shared" si="21"/>
        <v>134.19702707012786</v>
      </c>
      <c r="AQ13" s="27">
        <f t="shared" si="22"/>
        <v>28.247976605178085</v>
      </c>
      <c r="AR13" s="75"/>
    </row>
    <row r="14" spans="1:48" x14ac:dyDescent="0.2">
      <c r="A14" s="3" t="s">
        <v>24</v>
      </c>
      <c r="B14">
        <v>1228</v>
      </c>
      <c r="C14">
        <v>41</v>
      </c>
      <c r="D14">
        <v>3.38</v>
      </c>
      <c r="E14">
        <v>0.32500000000000001</v>
      </c>
      <c r="F14">
        <v>399</v>
      </c>
      <c r="G14" t="s">
        <v>124</v>
      </c>
      <c r="H14" s="20"/>
      <c r="I14" s="20"/>
      <c r="J14">
        <v>399</v>
      </c>
      <c r="K14">
        <v>0.33</v>
      </c>
      <c r="L14">
        <f t="shared" si="5"/>
        <v>131.67000000000002</v>
      </c>
      <c r="M14">
        <v>157.69999999999999</v>
      </c>
      <c r="N14">
        <v>33.200000000000003</v>
      </c>
      <c r="O14">
        <v>17.53</v>
      </c>
      <c r="P14">
        <v>3.69</v>
      </c>
      <c r="Q14" s="75"/>
      <c r="R14" s="27">
        <f t="shared" si="6"/>
        <v>20764.359</v>
      </c>
      <c r="S14" s="27">
        <f t="shared" si="7"/>
        <v>4371.4440000000013</v>
      </c>
      <c r="T14" s="27">
        <f t="shared" si="8"/>
        <v>2308.1751000000004</v>
      </c>
      <c r="U14" s="27">
        <f t="shared" si="9"/>
        <v>485.86230000000006</v>
      </c>
      <c r="V14" s="75"/>
      <c r="W14" s="27">
        <f t="shared" si="10"/>
        <v>43.605153899999998</v>
      </c>
      <c r="X14" s="27">
        <f t="shared" si="11"/>
        <v>9.1800324000000018</v>
      </c>
      <c r="Y14" s="27">
        <f t="shared" si="12"/>
        <v>4.8471677100000008</v>
      </c>
      <c r="Z14" s="27">
        <f t="shared" si="13"/>
        <v>1.0203108300000001</v>
      </c>
      <c r="AA14" s="75"/>
      <c r="AB14" s="27">
        <f t="shared" si="0"/>
        <v>20720.7538461</v>
      </c>
      <c r="AC14" s="27">
        <f t="shared" si="1"/>
        <v>4362.2639676000017</v>
      </c>
      <c r="AD14" s="27">
        <f t="shared" si="2"/>
        <v>2303.3279322900003</v>
      </c>
      <c r="AE14" s="27">
        <f t="shared" si="3"/>
        <v>484.84198917000003</v>
      </c>
      <c r="AF14">
        <v>167</v>
      </c>
      <c r="AG14" s="34">
        <f t="shared" si="14"/>
        <v>1.906392694063927E-2</v>
      </c>
      <c r="AH14" s="34">
        <f t="shared" si="4"/>
        <v>0.9809360730593607</v>
      </c>
      <c r="AI14" s="27">
        <f t="shared" si="15"/>
        <v>197.50946873851029</v>
      </c>
      <c r="AJ14" s="27">
        <f t="shared" si="16"/>
        <v>41.580940787054814</v>
      </c>
      <c r="AK14" s="27">
        <f t="shared" si="17"/>
        <v>21.955237710755139</v>
      </c>
      <c r="AL14" s="27">
        <f t="shared" si="18"/>
        <v>4.6214961296455481</v>
      </c>
      <c r="AM14" s="75"/>
      <c r="AN14" s="27">
        <f t="shared" si="19"/>
        <v>20523.24437736149</v>
      </c>
      <c r="AO14" s="27">
        <f t="shared" si="20"/>
        <v>4320.683026812947</v>
      </c>
      <c r="AP14" s="27">
        <f t="shared" si="21"/>
        <v>2281.372694579245</v>
      </c>
      <c r="AQ14" s="27">
        <f t="shared" si="22"/>
        <v>480.22049304035448</v>
      </c>
      <c r="AR14" s="75"/>
    </row>
    <row r="15" spans="1:48" x14ac:dyDescent="0.2">
      <c r="A15" s="3" t="s">
        <v>31</v>
      </c>
      <c r="B15">
        <v>1379</v>
      </c>
      <c r="C15">
        <v>6</v>
      </c>
      <c r="D15">
        <v>0.59</v>
      </c>
      <c r="F15">
        <v>6</v>
      </c>
      <c r="G15" t="s">
        <v>30</v>
      </c>
      <c r="H15" s="20"/>
      <c r="I15" s="20"/>
      <c r="J15">
        <v>6</v>
      </c>
      <c r="K15">
        <v>0.59</v>
      </c>
      <c r="L15">
        <f t="shared" si="5"/>
        <v>3.54</v>
      </c>
      <c r="M15">
        <v>157.69999999999999</v>
      </c>
      <c r="N15">
        <v>33.200000000000003</v>
      </c>
      <c r="O15">
        <v>17.53</v>
      </c>
      <c r="P15">
        <v>3.69</v>
      </c>
      <c r="Q15" s="75"/>
      <c r="R15" s="27">
        <f t="shared" si="6"/>
        <v>558.25799999999992</v>
      </c>
      <c r="S15" s="27">
        <f t="shared" si="7"/>
        <v>117.52800000000001</v>
      </c>
      <c r="T15" s="27">
        <f t="shared" si="8"/>
        <v>62.056200000000004</v>
      </c>
      <c r="U15" s="27">
        <f t="shared" si="9"/>
        <v>13.0626</v>
      </c>
      <c r="V15" s="75"/>
      <c r="W15" s="27">
        <f t="shared" si="10"/>
        <v>1.1723417999999999</v>
      </c>
      <c r="X15" s="27">
        <f t="shared" si="11"/>
        <v>0.24680879999999999</v>
      </c>
      <c r="Y15" s="27">
        <f t="shared" si="12"/>
        <v>0.13031802000000001</v>
      </c>
      <c r="Z15" s="27">
        <f t="shared" si="13"/>
        <v>2.7431459999999998E-2</v>
      </c>
      <c r="AA15" s="75"/>
      <c r="AB15" s="27">
        <f t="shared" si="0"/>
        <v>557.0856581999999</v>
      </c>
      <c r="AC15" s="27">
        <f t="shared" si="1"/>
        <v>117.28119120000001</v>
      </c>
      <c r="AD15" s="27">
        <f t="shared" si="2"/>
        <v>61.925881980000007</v>
      </c>
      <c r="AE15" s="27">
        <f t="shared" si="3"/>
        <v>13.035168539999999</v>
      </c>
      <c r="AF15">
        <v>1315</v>
      </c>
      <c r="AG15" s="34">
        <f t="shared" si="14"/>
        <v>0.15011415525114155</v>
      </c>
      <c r="AH15" s="34">
        <f t="shared" si="4"/>
        <v>0.84988584474885842</v>
      </c>
      <c r="AI15" s="27">
        <f t="shared" si="15"/>
        <v>41.813221491609582</v>
      </c>
      <c r="AJ15" s="27">
        <f t="shared" si="16"/>
        <v>8.8027834719178095</v>
      </c>
      <c r="AK15" s="27">
        <f t="shared" si="17"/>
        <v>4.6479757308047951</v>
      </c>
      <c r="AL15" s="27">
        <f t="shared" si="18"/>
        <v>0.978381656969178</v>
      </c>
      <c r="AM15" s="75"/>
      <c r="AN15" s="27">
        <f t="shared" si="19"/>
        <v>515.27243670839027</v>
      </c>
      <c r="AO15" s="27">
        <f t="shared" si="20"/>
        <v>108.47840772808219</v>
      </c>
      <c r="AP15" s="27">
        <f t="shared" si="21"/>
        <v>57.277906249195212</v>
      </c>
      <c r="AQ15" s="27">
        <f t="shared" si="22"/>
        <v>12.056786883030821</v>
      </c>
      <c r="AR15" s="75"/>
    </row>
    <row r="16" spans="1:48" x14ac:dyDescent="0.2">
      <c r="A16" s="3" t="s">
        <v>33</v>
      </c>
      <c r="B16">
        <v>1179</v>
      </c>
      <c r="C16">
        <v>10</v>
      </c>
      <c r="D16">
        <v>2.5</v>
      </c>
      <c r="E16">
        <v>0.625</v>
      </c>
      <c r="F16">
        <v>737</v>
      </c>
      <c r="G16" t="s">
        <v>11</v>
      </c>
      <c r="H16" s="20"/>
      <c r="I16" s="20"/>
      <c r="J16">
        <v>737</v>
      </c>
      <c r="K16">
        <v>0.63</v>
      </c>
      <c r="L16">
        <f t="shared" si="5"/>
        <v>464.31</v>
      </c>
      <c r="M16">
        <v>157.69999999999999</v>
      </c>
      <c r="N16">
        <v>33.200000000000003</v>
      </c>
      <c r="O16">
        <v>17.53</v>
      </c>
      <c r="P16">
        <v>3.69</v>
      </c>
      <c r="Q16" s="75"/>
      <c r="R16" s="27">
        <f t="shared" si="6"/>
        <v>73221.686999999991</v>
      </c>
      <c r="S16" s="27">
        <f t="shared" si="7"/>
        <v>15415.092000000001</v>
      </c>
      <c r="T16" s="27">
        <f t="shared" si="8"/>
        <v>8139.3543000000009</v>
      </c>
      <c r="U16" s="27">
        <f t="shared" si="9"/>
        <v>1713.3038999999999</v>
      </c>
      <c r="V16" s="75"/>
      <c r="W16" s="27">
        <f t="shared" si="10"/>
        <v>153.76554269999997</v>
      </c>
      <c r="X16" s="27">
        <f t="shared" si="11"/>
        <v>32.371693199999996</v>
      </c>
      <c r="Y16" s="27">
        <f t="shared" si="12"/>
        <v>17.092644030000002</v>
      </c>
      <c r="Z16" s="27">
        <f t="shared" si="13"/>
        <v>3.5979381899999994</v>
      </c>
      <c r="AA16" s="75"/>
      <c r="AB16" s="27">
        <f t="shared" si="0"/>
        <v>73067.921457299992</v>
      </c>
      <c r="AC16" s="27">
        <f t="shared" si="1"/>
        <v>15382.7203068</v>
      </c>
      <c r="AD16" s="27">
        <f t="shared" si="2"/>
        <v>8122.2616559700009</v>
      </c>
      <c r="AE16" s="27">
        <f t="shared" si="3"/>
        <v>1709.70596181</v>
      </c>
      <c r="AF16">
        <v>149</v>
      </c>
      <c r="AG16" s="34">
        <f t="shared" si="14"/>
        <v>1.7009132420091323E-2</v>
      </c>
      <c r="AH16" s="34">
        <f t="shared" si="4"/>
        <v>0.98299086757990872</v>
      </c>
      <c r="AI16" s="27">
        <f t="shared" si="15"/>
        <v>621.41097586402384</v>
      </c>
      <c r="AJ16" s="27">
        <f t="shared" si="16"/>
        <v>130.8233633397945</v>
      </c>
      <c r="AK16" s="27">
        <f t="shared" si="17"/>
        <v>69.076312028511992</v>
      </c>
      <c r="AL16" s="27">
        <f t="shared" si="18"/>
        <v>14.540307551922943</v>
      </c>
      <c r="AM16" s="75"/>
      <c r="AN16" s="27">
        <f t="shared" si="19"/>
        <v>72446.51048143598</v>
      </c>
      <c r="AO16" s="27">
        <f t="shared" si="20"/>
        <v>15251.896943460206</v>
      </c>
      <c r="AP16" s="27">
        <f t="shared" si="21"/>
        <v>8053.185343941489</v>
      </c>
      <c r="AQ16" s="27">
        <f t="shared" si="22"/>
        <v>1695.1656542580772</v>
      </c>
      <c r="AR16" s="75"/>
    </row>
    <row r="17" spans="1:48" x14ac:dyDescent="0.2">
      <c r="A17" s="3" t="s">
        <v>35</v>
      </c>
      <c r="B17">
        <v>1252</v>
      </c>
      <c r="C17">
        <v>1250</v>
      </c>
      <c r="D17">
        <v>0.08</v>
      </c>
      <c r="F17">
        <v>100</v>
      </c>
      <c r="G17" t="s">
        <v>126</v>
      </c>
      <c r="H17" s="20"/>
      <c r="I17" s="20"/>
      <c r="J17">
        <v>100</v>
      </c>
      <c r="K17">
        <v>0.08</v>
      </c>
      <c r="L17">
        <f t="shared" si="5"/>
        <v>8</v>
      </c>
      <c r="M17">
        <v>157.69999999999999</v>
      </c>
      <c r="N17">
        <v>33.200000000000003</v>
      </c>
      <c r="O17">
        <v>17.53</v>
      </c>
      <c r="P17">
        <v>3.69</v>
      </c>
      <c r="Q17" s="75"/>
      <c r="R17" s="27">
        <f t="shared" si="6"/>
        <v>1261.5999999999999</v>
      </c>
      <c r="S17" s="27">
        <f t="shared" si="7"/>
        <v>265.60000000000002</v>
      </c>
      <c r="T17" s="27">
        <f t="shared" si="8"/>
        <v>140.24</v>
      </c>
      <c r="U17" s="27">
        <f t="shared" si="9"/>
        <v>29.52</v>
      </c>
      <c r="V17" s="75"/>
      <c r="W17" s="27">
        <f t="shared" si="10"/>
        <v>2.6493599999999997</v>
      </c>
      <c r="X17" s="27">
        <f t="shared" si="11"/>
        <v>0.55776000000000003</v>
      </c>
      <c r="Y17" s="27">
        <f t="shared" si="12"/>
        <v>0.29450399999999999</v>
      </c>
      <c r="Z17" s="27">
        <f t="shared" si="13"/>
        <v>6.1991999999999998E-2</v>
      </c>
      <c r="AA17" s="75"/>
      <c r="AB17" s="27">
        <f t="shared" si="0"/>
        <v>1258.95064</v>
      </c>
      <c r="AC17" s="27">
        <f t="shared" si="1"/>
        <v>265.04224000000005</v>
      </c>
      <c r="AD17" s="27">
        <f t="shared" si="2"/>
        <v>139.94549600000002</v>
      </c>
      <c r="AE17" s="27">
        <f t="shared" si="3"/>
        <v>29.458008</v>
      </c>
      <c r="AF17">
        <v>1181</v>
      </c>
      <c r="AG17" s="34">
        <f t="shared" si="14"/>
        <v>0.13481735159817351</v>
      </c>
      <c r="AH17" s="34">
        <f t="shared" si="4"/>
        <v>0.86518264840182646</v>
      </c>
      <c r="AI17" s="27">
        <f t="shared" si="15"/>
        <v>84.86419553881278</v>
      </c>
      <c r="AJ17" s="27">
        <f t="shared" si="16"/>
        <v>17.866146429223747</v>
      </c>
      <c r="AK17" s="27">
        <f t="shared" si="17"/>
        <v>9.433540569406393</v>
      </c>
      <c r="AL17" s="27">
        <f t="shared" si="18"/>
        <v>1.9857253109589039</v>
      </c>
      <c r="AM17" s="75"/>
      <c r="AN17" s="27">
        <f t="shared" si="19"/>
        <v>1174.0864444611871</v>
      </c>
      <c r="AO17" s="27">
        <f t="shared" si="20"/>
        <v>247.17609357077629</v>
      </c>
      <c r="AP17" s="27">
        <f t="shared" si="21"/>
        <v>130.51195543059362</v>
      </c>
      <c r="AQ17" s="27">
        <f t="shared" si="22"/>
        <v>27.472282689041094</v>
      </c>
      <c r="AR17" s="75"/>
    </row>
    <row r="18" spans="1:48" x14ac:dyDescent="0.2">
      <c r="A18" s="3" t="s">
        <v>37</v>
      </c>
      <c r="B18">
        <v>1186.5</v>
      </c>
      <c r="C18">
        <v>901</v>
      </c>
      <c r="D18">
        <v>0.69</v>
      </c>
      <c r="E18">
        <v>0.16500000000000001</v>
      </c>
      <c r="F18">
        <v>819</v>
      </c>
      <c r="G18" t="s">
        <v>16</v>
      </c>
      <c r="H18" s="20"/>
      <c r="I18" s="20"/>
      <c r="J18">
        <v>819</v>
      </c>
      <c r="K18">
        <v>0.17</v>
      </c>
      <c r="L18">
        <f t="shared" si="5"/>
        <v>139.23000000000002</v>
      </c>
      <c r="M18">
        <v>157.69999999999999</v>
      </c>
      <c r="N18">
        <v>33.200000000000003</v>
      </c>
      <c r="O18">
        <v>17.53</v>
      </c>
      <c r="P18">
        <v>3.69</v>
      </c>
      <c r="Q18" s="75"/>
      <c r="R18" s="27">
        <f t="shared" si="6"/>
        <v>21956.571</v>
      </c>
      <c r="S18" s="27">
        <f t="shared" si="7"/>
        <v>4622.4360000000006</v>
      </c>
      <c r="T18" s="27">
        <f t="shared" si="8"/>
        <v>2440.7019000000005</v>
      </c>
      <c r="U18" s="27">
        <f t="shared" si="9"/>
        <v>513.75870000000009</v>
      </c>
      <c r="V18" s="75"/>
      <c r="W18" s="27">
        <f t="shared" si="10"/>
        <v>46.108799099999999</v>
      </c>
      <c r="X18" s="27">
        <f t="shared" si="11"/>
        <v>9.7071155999999998</v>
      </c>
      <c r="Y18" s="27">
        <f t="shared" si="12"/>
        <v>5.1254739900000006</v>
      </c>
      <c r="Z18" s="27">
        <f t="shared" si="13"/>
        <v>1.07889327</v>
      </c>
      <c r="AA18" s="75"/>
      <c r="AB18" s="27">
        <f t="shared" si="0"/>
        <v>21910.462200900001</v>
      </c>
      <c r="AC18" s="27">
        <f t="shared" si="1"/>
        <v>4612.7288844000004</v>
      </c>
      <c r="AD18" s="27">
        <f t="shared" si="2"/>
        <v>2435.5764260100004</v>
      </c>
      <c r="AE18" s="27">
        <f t="shared" si="3"/>
        <v>512.67980673000011</v>
      </c>
      <c r="AF18">
        <v>171</v>
      </c>
      <c r="AG18" s="34">
        <f t="shared" si="14"/>
        <v>1.9520547945205479E-2</v>
      </c>
      <c r="AH18" s="34">
        <f t="shared" si="4"/>
        <v>0.98047945205479448</v>
      </c>
      <c r="AI18" s="27">
        <f t="shared" si="15"/>
        <v>213.85211394714042</v>
      </c>
      <c r="AJ18" s="27">
        <f t="shared" si="16"/>
        <v>45.021497673082195</v>
      </c>
      <c r="AK18" s="27">
        <f t="shared" si="17"/>
        <v>23.77189319907021</v>
      </c>
      <c r="AL18" s="27">
        <f t="shared" si="18"/>
        <v>5.0038953739058227</v>
      </c>
      <c r="AM18" s="75"/>
      <c r="AN18" s="27">
        <f t="shared" si="19"/>
        <v>21696.61008695286</v>
      </c>
      <c r="AO18" s="27">
        <f t="shared" si="20"/>
        <v>4567.7073867269182</v>
      </c>
      <c r="AP18" s="27">
        <f t="shared" si="21"/>
        <v>2411.8045328109301</v>
      </c>
      <c r="AQ18" s="27">
        <f t="shared" si="22"/>
        <v>507.67591135609428</v>
      </c>
      <c r="AR18" s="75"/>
    </row>
    <row r="19" spans="1:48" x14ac:dyDescent="0.2">
      <c r="A19" s="3" t="s">
        <v>39</v>
      </c>
      <c r="B19">
        <v>1747</v>
      </c>
      <c r="C19">
        <v>901</v>
      </c>
      <c r="D19">
        <v>0.41</v>
      </c>
      <c r="F19">
        <v>716</v>
      </c>
      <c r="G19" t="s">
        <v>126</v>
      </c>
      <c r="H19" s="20"/>
      <c r="I19" s="20"/>
      <c r="J19">
        <v>716</v>
      </c>
      <c r="K19">
        <v>0.41</v>
      </c>
      <c r="L19">
        <f t="shared" si="5"/>
        <v>293.56</v>
      </c>
      <c r="M19">
        <v>157.69999999999999</v>
      </c>
      <c r="N19">
        <v>33.200000000000003</v>
      </c>
      <c r="O19">
        <v>17.53</v>
      </c>
      <c r="P19">
        <v>3.69</v>
      </c>
      <c r="Q19" s="75"/>
      <c r="R19" s="27">
        <f t="shared" si="6"/>
        <v>46294.411999999997</v>
      </c>
      <c r="S19" s="27">
        <f t="shared" si="7"/>
        <v>9746.1920000000009</v>
      </c>
      <c r="T19" s="27">
        <f t="shared" si="8"/>
        <v>5146.1068000000005</v>
      </c>
      <c r="U19" s="27">
        <f t="shared" si="9"/>
        <v>1083.2364</v>
      </c>
      <c r="V19" s="75"/>
      <c r="W19" s="27">
        <f t="shared" si="10"/>
        <v>97.218265199999991</v>
      </c>
      <c r="X19" s="27">
        <f t="shared" si="11"/>
        <v>20.467003200000001</v>
      </c>
      <c r="Y19" s="27">
        <f t="shared" si="12"/>
        <v>10.806824280000001</v>
      </c>
      <c r="Z19" s="27">
        <f t="shared" si="13"/>
        <v>2.2747964399999998</v>
      </c>
      <c r="AA19" s="75"/>
      <c r="AB19" s="27">
        <f t="shared" si="0"/>
        <v>46197.193734799999</v>
      </c>
      <c r="AC19" s="27">
        <f t="shared" si="1"/>
        <v>9725.7249968000015</v>
      </c>
      <c r="AD19" s="27">
        <f t="shared" si="2"/>
        <v>5135.2999757200005</v>
      </c>
      <c r="AE19" s="27">
        <f t="shared" si="3"/>
        <v>1080.96160356</v>
      </c>
      <c r="AF19">
        <v>14</v>
      </c>
      <c r="AG19" s="34">
        <f t="shared" si="14"/>
        <v>1.5981735159817352E-3</v>
      </c>
      <c r="AH19" s="34">
        <f t="shared" si="4"/>
        <v>0.99840182648401832</v>
      </c>
      <c r="AI19" s="27">
        <f t="shared" si="15"/>
        <v>36.915565769817356</v>
      </c>
      <c r="AJ19" s="27">
        <f t="shared" si="16"/>
        <v>7.7716980568036549</v>
      </c>
      <c r="AK19" s="27">
        <f t="shared" si="17"/>
        <v>4.1035502089086764</v>
      </c>
      <c r="AL19" s="27">
        <f t="shared" si="18"/>
        <v>0.86378210330136984</v>
      </c>
      <c r="AM19" s="75"/>
      <c r="AN19" s="27">
        <f t="shared" si="19"/>
        <v>46160.278169030178</v>
      </c>
      <c r="AO19" s="27">
        <f t="shared" si="20"/>
        <v>9717.9532987431994</v>
      </c>
      <c r="AP19" s="27">
        <f t="shared" si="21"/>
        <v>5131.1964255110925</v>
      </c>
      <c r="AQ19" s="27">
        <f t="shared" si="22"/>
        <v>1080.0978214566987</v>
      </c>
      <c r="AR19" s="75"/>
    </row>
    <row r="20" spans="1:48" x14ac:dyDescent="0.2">
      <c r="A20" s="3" t="s">
        <v>41</v>
      </c>
      <c r="B20">
        <v>1179</v>
      </c>
      <c r="C20">
        <v>10</v>
      </c>
      <c r="D20">
        <v>0.34</v>
      </c>
      <c r="E20">
        <v>0.25</v>
      </c>
      <c r="F20">
        <v>295</v>
      </c>
      <c r="G20" t="s">
        <v>11</v>
      </c>
      <c r="H20" s="20"/>
      <c r="I20" s="20"/>
      <c r="J20">
        <v>295</v>
      </c>
      <c r="K20">
        <v>0.25</v>
      </c>
      <c r="L20">
        <f t="shared" si="5"/>
        <v>73.75</v>
      </c>
      <c r="M20">
        <v>157.69999999999999</v>
      </c>
      <c r="N20">
        <v>33.200000000000003</v>
      </c>
      <c r="O20">
        <v>17.53</v>
      </c>
      <c r="P20">
        <v>3.69</v>
      </c>
      <c r="Q20" s="75"/>
      <c r="R20" s="27">
        <f t="shared" si="6"/>
        <v>11630.375</v>
      </c>
      <c r="S20" s="27">
        <f t="shared" si="7"/>
        <v>2448.5</v>
      </c>
      <c r="T20" s="27">
        <f t="shared" si="8"/>
        <v>1292.8375000000001</v>
      </c>
      <c r="U20" s="27">
        <f t="shared" si="9"/>
        <v>272.13749999999999</v>
      </c>
      <c r="V20" s="75"/>
      <c r="W20" s="27">
        <f t="shared" si="10"/>
        <v>24.4237875</v>
      </c>
      <c r="X20" s="27">
        <f t="shared" si="11"/>
        <v>5.1418499999999998</v>
      </c>
      <c r="Y20" s="27">
        <f t="shared" si="12"/>
        <v>2.7149587500000001</v>
      </c>
      <c r="Z20" s="27">
        <f t="shared" si="13"/>
        <v>0.57148874999999999</v>
      </c>
      <c r="AA20" s="75"/>
      <c r="AB20" s="27">
        <f t="shared" si="0"/>
        <v>11605.9512125</v>
      </c>
      <c r="AC20" s="27">
        <f t="shared" si="1"/>
        <v>2443.35815</v>
      </c>
      <c r="AD20" s="27">
        <f t="shared" si="2"/>
        <v>1290.12254125</v>
      </c>
      <c r="AE20" s="27">
        <f t="shared" si="3"/>
        <v>271.56601124999997</v>
      </c>
      <c r="AF20">
        <v>39</v>
      </c>
      <c r="AG20" s="34">
        <f t="shared" si="14"/>
        <v>4.4520547945205479E-3</v>
      </c>
      <c r="AH20" s="34">
        <f t="shared" si="4"/>
        <v>0.9955479452054794</v>
      </c>
      <c r="AI20" s="27">
        <f t="shared" si="15"/>
        <v>25.835165370291097</v>
      </c>
      <c r="AJ20" s="27">
        <f t="shared" si="16"/>
        <v>5.4389821832191778</v>
      </c>
      <c r="AK20" s="27">
        <f t="shared" si="17"/>
        <v>2.8718481226455479</v>
      </c>
      <c r="AL20" s="27">
        <f t="shared" si="18"/>
        <v>0.60451338120719167</v>
      </c>
      <c r="AM20" s="75"/>
      <c r="AN20" s="27">
        <f t="shared" si="19"/>
        <v>11580.116047129708</v>
      </c>
      <c r="AO20" s="27">
        <f t="shared" si="20"/>
        <v>2437.9191678167808</v>
      </c>
      <c r="AP20" s="27">
        <f t="shared" si="21"/>
        <v>1287.2506931273545</v>
      </c>
      <c r="AQ20" s="27">
        <f t="shared" si="22"/>
        <v>270.96149786879278</v>
      </c>
      <c r="AR20" s="75"/>
    </row>
    <row r="21" spans="1:48" x14ac:dyDescent="0.2">
      <c r="A21" s="3" t="s">
        <v>43</v>
      </c>
      <c r="B21">
        <v>1760</v>
      </c>
      <c r="C21">
        <v>7</v>
      </c>
      <c r="D21">
        <v>0.78</v>
      </c>
      <c r="F21">
        <v>7</v>
      </c>
      <c r="G21" t="s">
        <v>30</v>
      </c>
      <c r="H21" s="20"/>
      <c r="I21" s="20"/>
      <c r="J21">
        <v>7</v>
      </c>
      <c r="K21">
        <v>0.78</v>
      </c>
      <c r="L21">
        <f t="shared" si="5"/>
        <v>5.46</v>
      </c>
      <c r="M21">
        <v>157.69999999999999</v>
      </c>
      <c r="N21">
        <v>33.200000000000003</v>
      </c>
      <c r="O21">
        <v>17.53</v>
      </c>
      <c r="P21">
        <v>3.69</v>
      </c>
      <c r="Q21" s="75"/>
      <c r="R21" s="27">
        <f t="shared" si="6"/>
        <v>861.04199999999992</v>
      </c>
      <c r="S21" s="27">
        <f t="shared" si="7"/>
        <v>181.27200000000002</v>
      </c>
      <c r="T21" s="27">
        <f t="shared" si="8"/>
        <v>95.713800000000006</v>
      </c>
      <c r="U21" s="27">
        <f t="shared" si="9"/>
        <v>20.147400000000001</v>
      </c>
      <c r="V21" s="75"/>
      <c r="W21" s="27">
        <f t="shared" si="10"/>
        <v>1.8081881999999998</v>
      </c>
      <c r="X21" s="27">
        <f t="shared" si="11"/>
        <v>0.38067120000000004</v>
      </c>
      <c r="Y21" s="27">
        <f t="shared" si="12"/>
        <v>0.20099897999999999</v>
      </c>
      <c r="Z21" s="27">
        <f t="shared" si="13"/>
        <v>4.230954E-2</v>
      </c>
      <c r="AA21" s="75"/>
      <c r="AB21" s="27">
        <f t="shared" si="0"/>
        <v>859.2338117999999</v>
      </c>
      <c r="AC21" s="27">
        <f t="shared" si="1"/>
        <v>180.89132880000003</v>
      </c>
      <c r="AD21" s="27">
        <f t="shared" si="2"/>
        <v>95.512801020000012</v>
      </c>
      <c r="AE21" s="27">
        <f t="shared" si="3"/>
        <v>20.10509046</v>
      </c>
      <c r="AF21">
        <v>2027</v>
      </c>
      <c r="AG21" s="34">
        <f t="shared" si="14"/>
        <v>0.23139269406392693</v>
      </c>
      <c r="AH21" s="34">
        <f t="shared" si="4"/>
        <v>0.76860730593607307</v>
      </c>
      <c r="AI21" s="27">
        <f t="shared" si="15"/>
        <v>99.410213271609578</v>
      </c>
      <c r="AJ21" s="27">
        <f t="shared" si="16"/>
        <v>20.928465951917811</v>
      </c>
      <c r="AK21" s="27">
        <f t="shared" si="17"/>
        <v>11.050482172804795</v>
      </c>
      <c r="AL21" s="27">
        <f t="shared" si="18"/>
        <v>2.3260855229691777</v>
      </c>
      <c r="AM21" s="75"/>
      <c r="AN21" s="27">
        <f t="shared" si="19"/>
        <v>759.82359852839033</v>
      </c>
      <c r="AO21" s="27">
        <f t="shared" si="20"/>
        <v>159.96286284808221</v>
      </c>
      <c r="AP21" s="27">
        <f t="shared" si="21"/>
        <v>84.462318847195206</v>
      </c>
      <c r="AQ21" s="27">
        <f t="shared" si="22"/>
        <v>17.77900493703082</v>
      </c>
      <c r="AR21" s="75"/>
    </row>
    <row r="22" spans="1:48" x14ac:dyDescent="0.2">
      <c r="A22" s="3" t="s">
        <v>45</v>
      </c>
      <c r="B22">
        <v>1760</v>
      </c>
      <c r="C22">
        <v>7</v>
      </c>
      <c r="D22">
        <v>14.26</v>
      </c>
      <c r="F22">
        <v>7</v>
      </c>
      <c r="G22" t="s">
        <v>30</v>
      </c>
      <c r="H22" s="20"/>
      <c r="I22" s="20"/>
      <c r="J22">
        <v>7</v>
      </c>
      <c r="K22">
        <v>14.26</v>
      </c>
      <c r="L22">
        <f t="shared" si="5"/>
        <v>99.82</v>
      </c>
      <c r="M22">
        <v>157.69999999999999</v>
      </c>
      <c r="N22">
        <v>33.200000000000003</v>
      </c>
      <c r="O22">
        <v>17.53</v>
      </c>
      <c r="P22">
        <v>3.69</v>
      </c>
      <c r="Q22" s="75"/>
      <c r="R22" s="27">
        <f t="shared" si="6"/>
        <v>15741.613999999998</v>
      </c>
      <c r="S22" s="27">
        <f t="shared" si="7"/>
        <v>3314.0239999999999</v>
      </c>
      <c r="T22" s="27">
        <f t="shared" si="8"/>
        <v>1749.8445999999999</v>
      </c>
      <c r="U22" s="27">
        <f t="shared" si="9"/>
        <v>368.33579999999995</v>
      </c>
      <c r="V22" s="75"/>
      <c r="W22" s="27">
        <f t="shared" si="10"/>
        <v>33.057389399999991</v>
      </c>
      <c r="X22" s="27">
        <f t="shared" si="11"/>
        <v>6.9594503999999997</v>
      </c>
      <c r="Y22" s="27">
        <f t="shared" si="12"/>
        <v>3.6746736599999994</v>
      </c>
      <c r="Z22" s="27">
        <f t="shared" si="13"/>
        <v>0.77350517999999979</v>
      </c>
      <c r="AA22" s="75"/>
      <c r="AB22" s="27">
        <f t="shared" si="0"/>
        <v>15708.556610599997</v>
      </c>
      <c r="AC22" s="27">
        <f t="shared" si="1"/>
        <v>3307.0645495999997</v>
      </c>
      <c r="AD22" s="27">
        <f t="shared" si="2"/>
        <v>1746.1699263399998</v>
      </c>
      <c r="AE22" s="27">
        <f t="shared" si="3"/>
        <v>367.56229481999998</v>
      </c>
      <c r="AF22">
        <v>1086</v>
      </c>
      <c r="AG22" s="34">
        <f t="shared" si="14"/>
        <v>0.12397260273972603</v>
      </c>
      <c r="AH22" s="34">
        <f t="shared" si="4"/>
        <v>0.87602739726027401</v>
      </c>
      <c r="AI22" s="27">
        <f t="shared" si="15"/>
        <v>973.71532415020533</v>
      </c>
      <c r="AJ22" s="27">
        <f t="shared" si="16"/>
        <v>204.99269982109587</v>
      </c>
      <c r="AK22" s="27">
        <f t="shared" si="17"/>
        <v>108.23861529710274</v>
      </c>
      <c r="AL22" s="27">
        <f t="shared" si="18"/>
        <v>22.783827178910958</v>
      </c>
      <c r="AM22" s="75"/>
      <c r="AN22" s="27">
        <f t="shared" si="19"/>
        <v>14734.841286449793</v>
      </c>
      <c r="AO22" s="27">
        <f t="shared" si="20"/>
        <v>3102.0718497789039</v>
      </c>
      <c r="AP22" s="27">
        <f t="shared" si="21"/>
        <v>1637.9313110428973</v>
      </c>
      <c r="AQ22" s="27">
        <f t="shared" si="22"/>
        <v>344.77846764108904</v>
      </c>
      <c r="AR22" s="75"/>
    </row>
    <row r="23" spans="1:48" x14ac:dyDescent="0.2">
      <c r="A23" s="48"/>
      <c r="B23" s="11"/>
      <c r="C23" s="11"/>
      <c r="D23" s="11"/>
      <c r="E23" s="11">
        <f>$E5+$E6+$E7+$E8+$E9+$E10+$E11+$E12+$E13+$E14+$E15+$E16+$E17+$E18+$E19+$E20+$E21+$E22</f>
        <v>3.0049999999999999</v>
      </c>
      <c r="F23" s="11"/>
      <c r="G23" s="11"/>
      <c r="H23" s="20"/>
      <c r="I23" s="20"/>
      <c r="J23" s="25">
        <f xml:space="preserve"> SUM(J5:J22)</f>
        <v>7889</v>
      </c>
      <c r="K23" s="25">
        <f xml:space="preserve"> SUM(K5:K22)</f>
        <v>24.85</v>
      </c>
      <c r="L23" s="25">
        <f xml:space="preserve"> SUM(L5:L22)</f>
        <v>5051.2800000000007</v>
      </c>
      <c r="M23" s="11"/>
      <c r="N23" s="11"/>
      <c r="O23" s="11"/>
      <c r="P23" s="11"/>
      <c r="Q23" s="75"/>
      <c r="R23" s="77">
        <f xml:space="preserve"> SUM(R5:R22)</f>
        <v>796586.85600000015</v>
      </c>
      <c r="S23" s="77">
        <f xml:space="preserve"> SUM(S5:S22)</f>
        <v>167702.49600000001</v>
      </c>
      <c r="T23" s="77">
        <f xml:space="preserve"> SUM(T5:T22)</f>
        <v>88548.938399999999</v>
      </c>
      <c r="U23" s="77">
        <f xml:space="preserve"> SUM(U5:U22)</f>
        <v>18639.223200000004</v>
      </c>
      <c r="V23" s="75"/>
      <c r="W23" s="77">
        <f>SUM(W5:W22)</f>
        <v>1672.8323975999992</v>
      </c>
      <c r="X23" s="77">
        <f xml:space="preserve"> SUM(X5:X22)</f>
        <v>352.17524159999994</v>
      </c>
      <c r="Y23" s="77">
        <f xml:space="preserve"> SUM(Y5:Y22)</f>
        <v>185.95277064000001</v>
      </c>
      <c r="Z23" s="77">
        <f xml:space="preserve"> SUM(Z5:Z22)</f>
        <v>39.142368719999993</v>
      </c>
      <c r="AA23" s="75"/>
      <c r="AB23" s="77">
        <f xml:space="preserve"> SUM(AB5:AB22)</f>
        <v>794914.02360239974</v>
      </c>
      <c r="AC23" s="77">
        <f xml:space="preserve"> SUM(AC5:AC22)</f>
        <v>167350.32075840008</v>
      </c>
      <c r="AD23" s="77">
        <f xml:space="preserve"> SUM(AD5:AD22)</f>
        <v>88362.985629360002</v>
      </c>
      <c r="AE23" s="77">
        <f xml:space="preserve"> SUM(AE5:AE22)</f>
        <v>18600.08083128</v>
      </c>
      <c r="AF23" s="11">
        <f xml:space="preserve"> SUM(AF5:AF21)</f>
        <v>6801</v>
      </c>
      <c r="AG23" s="11"/>
      <c r="AH23" s="11"/>
      <c r="AI23" s="77">
        <f xml:space="preserve"> SUM(AI5:AI22)</f>
        <v>4164.9362095596007</v>
      </c>
      <c r="AJ23" s="77">
        <f>SUM(AJ5:AJ22)</f>
        <v>876.82867569675795</v>
      </c>
      <c r="AK23" s="77">
        <f xml:space="preserve"> SUM(AK5:AK22)</f>
        <v>462.97610496880026</v>
      </c>
      <c r="AL23" s="77">
        <f xml:space="preserve"> SUM(AL5:AL22)</f>
        <v>97.454753413284251</v>
      </c>
      <c r="AM23" s="75"/>
      <c r="AN23" s="77">
        <f xml:space="preserve"> SUM(AN5:AN22)</f>
        <v>790749.08739284042</v>
      </c>
      <c r="AO23" s="77">
        <f>SUM(AO5:AO22)</f>
        <v>166473.49208270325</v>
      </c>
      <c r="AP23" s="77">
        <f>SUM(AP5:AP22)</f>
        <v>87900.009524391193</v>
      </c>
      <c r="AQ23" s="77">
        <f>SUM(AQ5:AQ22)</f>
        <v>18502.626077866717</v>
      </c>
      <c r="AR23" s="75"/>
      <c r="AS23" s="11"/>
      <c r="AT23" s="11"/>
      <c r="AU23" s="11"/>
      <c r="AV23" s="11"/>
    </row>
    <row r="24" spans="1:48" ht="19" x14ac:dyDescent="0.25">
      <c r="A24" s="71" t="s">
        <v>134</v>
      </c>
      <c r="B24" s="70"/>
      <c r="C24" s="70"/>
      <c r="D24" s="70"/>
      <c r="E24" s="70"/>
      <c r="F24" s="70"/>
      <c r="G24" s="70"/>
      <c r="H24" s="20"/>
      <c r="I24" s="20"/>
      <c r="J24" s="69"/>
      <c r="K24" s="70"/>
      <c r="L24" s="70"/>
      <c r="M24" s="70"/>
      <c r="N24" s="70"/>
      <c r="O24" s="70"/>
      <c r="P24" s="70"/>
      <c r="Q24" s="76"/>
      <c r="R24" s="70"/>
      <c r="S24" s="70"/>
      <c r="T24" s="70"/>
      <c r="U24" s="70"/>
      <c r="V24" s="75"/>
      <c r="AA24" s="75"/>
      <c r="AB24" s="27"/>
      <c r="AF24" s="11"/>
      <c r="AG24" s="11"/>
      <c r="AH24" s="11"/>
      <c r="AM24" s="75"/>
      <c r="AR24" s="74" t="s">
        <v>376</v>
      </c>
      <c r="AS24" s="142">
        <f xml:space="preserve"> W51 + AI51</f>
        <v>90345.393503878673</v>
      </c>
      <c r="AT24" s="142">
        <f xml:space="preserve"> X51 + AJ51</f>
        <v>19020.082842921824</v>
      </c>
      <c r="AU24" s="142">
        <f xml:space="preserve"> Y51 + AK51</f>
        <v>10042.832898687338</v>
      </c>
      <c r="AV24" s="142">
        <f xml:space="preserve"> Z51 + AL51</f>
        <v>2113.9790870596853</v>
      </c>
    </row>
    <row r="25" spans="1:48" x14ac:dyDescent="0.2">
      <c r="A25" s="3" t="s">
        <v>47</v>
      </c>
      <c r="B25">
        <v>1362</v>
      </c>
      <c r="C25">
        <v>101</v>
      </c>
      <c r="D25">
        <v>14.28</v>
      </c>
      <c r="E25">
        <v>0.57999999999999996</v>
      </c>
      <c r="F25" s="2">
        <f t="shared" ref="F25:F36" si="23">B25*E25</f>
        <v>789.95999999999992</v>
      </c>
      <c r="G25" t="s">
        <v>11</v>
      </c>
      <c r="H25" s="20"/>
      <c r="I25" s="20"/>
      <c r="J25">
        <v>790</v>
      </c>
      <c r="K25">
        <v>14.28</v>
      </c>
      <c r="L25">
        <f xml:space="preserve"> J25 * K25</f>
        <v>11281.199999999999</v>
      </c>
      <c r="M25">
        <v>157.69999999999999</v>
      </c>
      <c r="N25">
        <v>33.200000000000003</v>
      </c>
      <c r="O25">
        <v>17.53</v>
      </c>
      <c r="P25">
        <v>3.69</v>
      </c>
      <c r="Q25" s="75"/>
      <c r="R25" s="27">
        <f t="shared" ref="R25:R50" si="24" xml:space="preserve"> J25 * K25 * M25</f>
        <v>1779045.2399999998</v>
      </c>
      <c r="S25" s="27">
        <f t="shared" ref="S25:S50" si="25" xml:space="preserve"> J25 * K25 * N25</f>
        <v>374535.83999999997</v>
      </c>
      <c r="T25" s="27">
        <f t="shared" ref="T25:T50" si="26" xml:space="preserve"> J25 * K25 * O25</f>
        <v>197759.43599999999</v>
      </c>
      <c r="U25" s="27">
        <f t="shared" ref="U25:U50" si="27" xml:space="preserve"> J25 * K25 * P25</f>
        <v>41627.627999999997</v>
      </c>
      <c r="V25" s="75"/>
      <c r="W25" s="27">
        <f t="shared" ref="W25:W50" si="28" xml:space="preserve"> R25 *0.0021</f>
        <v>3735.9950039999994</v>
      </c>
      <c r="X25" s="27">
        <f t="shared" ref="X25:X50" si="29" xml:space="preserve"> S25 * 0.0021</f>
        <v>786.52526399999988</v>
      </c>
      <c r="Y25" s="27">
        <f t="shared" ref="Y25:Y50" si="30" xml:space="preserve"> T25 * 0.0021</f>
        <v>415.29481559999994</v>
      </c>
      <c r="Z25" s="27">
        <f t="shared" ref="Z25:Z50" si="31" xml:space="preserve"> U25 * 0.0021</f>
        <v>87.418018799999984</v>
      </c>
      <c r="AA25" s="75"/>
      <c r="AB25" s="27">
        <f t="shared" ref="AB25:AB50" si="32" xml:space="preserve"> R25 - W25</f>
        <v>1775309.2449959998</v>
      </c>
      <c r="AC25" s="27">
        <f t="shared" ref="AC25:AC50" si="33">S25 - X25</f>
        <v>373749.31473599997</v>
      </c>
      <c r="AD25" s="27">
        <f t="shared" ref="AD25:AD50" si="34" xml:space="preserve"> T25-Y25</f>
        <v>197344.14118439998</v>
      </c>
      <c r="AE25" s="27">
        <f t="shared" ref="AE25:AE50" si="35" xml:space="preserve"> U25 - Z25</f>
        <v>41540.209981199994</v>
      </c>
      <c r="AF25">
        <v>426</v>
      </c>
      <c r="AG25" s="34">
        <f t="shared" ref="AG25:AG50" si="36">$AF25/8760</f>
        <v>4.8630136986301371E-2</v>
      </c>
      <c r="AH25" s="34">
        <f t="shared" ref="AH25:AH35" si="37">1- AG25</f>
        <v>0.95136986301369864</v>
      </c>
      <c r="AI25" s="27">
        <f t="shared" ref="AI25:AI35" si="38" xml:space="preserve"> AB25 * AG25 / 2</f>
        <v>43166.765888601367</v>
      </c>
      <c r="AJ25" s="27">
        <f t="shared" ref="AJ25:AJ35" si="39" xml:space="preserve"> AC25 * AG25 / 2</f>
        <v>9087.7401870739723</v>
      </c>
      <c r="AK25" s="27">
        <f t="shared" ref="AK25:AK35" si="40" xml:space="preserve"> AD25 * AG25 /2</f>
        <v>4798.4363096206844</v>
      </c>
      <c r="AL25" s="27">
        <f t="shared" ref="AL25:AL35" si="41" xml:space="preserve"> AE25 *AG25 /2</f>
        <v>1010.0530509127396</v>
      </c>
      <c r="AM25" s="75"/>
      <c r="AN25" s="27">
        <f t="shared" ref="AN25:AN50" si="42">AB25 * AH25 + AI25</f>
        <v>1732142.4791073985</v>
      </c>
      <c r="AO25" s="27">
        <f t="shared" ref="AO25:AO35" si="43" xml:space="preserve"> AC25 * AH25 + AJ25</f>
        <v>364661.57454892603</v>
      </c>
      <c r="AP25" s="27">
        <f t="shared" ref="AP25:AP35" si="44" xml:space="preserve"> AD25 * AH25 + AK25</f>
        <v>192545.7048747793</v>
      </c>
      <c r="AQ25" s="27">
        <f t="shared" ref="AQ25:AQ35" si="45" xml:space="preserve"> AE25 * AH25 + AL25</f>
        <v>40530.156930287259</v>
      </c>
      <c r="AR25" s="74" t="s">
        <v>377</v>
      </c>
      <c r="AS25" s="1"/>
      <c r="AU25" s="1">
        <v>10.54</v>
      </c>
    </row>
    <row r="26" spans="1:48" x14ac:dyDescent="0.2">
      <c r="A26" s="3" t="s">
        <v>48</v>
      </c>
      <c r="B26">
        <v>2369</v>
      </c>
      <c r="C26">
        <v>1327</v>
      </c>
      <c r="D26">
        <v>0.63</v>
      </c>
      <c r="E26">
        <v>0.32</v>
      </c>
      <c r="F26" s="2">
        <f t="shared" si="23"/>
        <v>758.08</v>
      </c>
      <c r="G26" t="s">
        <v>11</v>
      </c>
      <c r="H26" s="20"/>
      <c r="I26" s="20"/>
      <c r="J26">
        <v>758</v>
      </c>
      <c r="K26">
        <v>0.63</v>
      </c>
      <c r="L26">
        <f t="shared" ref="L26:L50" si="46" xml:space="preserve"> J26 * K26</f>
        <v>477.54</v>
      </c>
      <c r="M26">
        <v>157.69999999999999</v>
      </c>
      <c r="N26">
        <v>33.200000000000003</v>
      </c>
      <c r="O26">
        <v>17.53</v>
      </c>
      <c r="P26">
        <v>3.69</v>
      </c>
      <c r="Q26" s="75"/>
      <c r="R26" s="27">
        <f t="shared" si="24"/>
        <v>75308.058000000005</v>
      </c>
      <c r="S26" s="27">
        <f t="shared" si="25"/>
        <v>15854.328000000001</v>
      </c>
      <c r="T26" s="27">
        <f t="shared" si="26"/>
        <v>8371.2762000000002</v>
      </c>
      <c r="U26" s="27">
        <f t="shared" si="27"/>
        <v>1762.1226000000001</v>
      </c>
      <c r="V26" s="75"/>
      <c r="W26" s="27">
        <f t="shared" si="28"/>
        <v>158.1469218</v>
      </c>
      <c r="X26" s="27">
        <f t="shared" si="29"/>
        <v>33.294088799999997</v>
      </c>
      <c r="Y26" s="27">
        <f t="shared" si="30"/>
        <v>17.579680019999998</v>
      </c>
      <c r="Z26" s="27">
        <f t="shared" si="31"/>
        <v>3.70045746</v>
      </c>
      <c r="AA26" s="75"/>
      <c r="AB26" s="27">
        <f t="shared" si="32"/>
        <v>75149.911078200006</v>
      </c>
      <c r="AC26" s="27">
        <f t="shared" si="33"/>
        <v>15821.033911200002</v>
      </c>
      <c r="AD26" s="27">
        <f t="shared" si="34"/>
        <v>8353.6965199799997</v>
      </c>
      <c r="AE26" s="27">
        <f t="shared" si="35"/>
        <v>1758.4221425400001</v>
      </c>
      <c r="AF26">
        <v>471</v>
      </c>
      <c r="AG26" s="34">
        <f t="shared" si="36"/>
        <v>5.3767123287671234E-2</v>
      </c>
      <c r="AH26" s="34">
        <f t="shared" si="37"/>
        <v>0.94623287671232881</v>
      </c>
      <c r="AI26" s="27">
        <f t="shared" si="38"/>
        <v>2020.2972669995549</v>
      </c>
      <c r="AJ26" s="27">
        <f t="shared" si="39"/>
        <v>425.32574042095899</v>
      </c>
      <c r="AK26" s="27">
        <f t="shared" si="40"/>
        <v>224.5771153487774</v>
      </c>
      <c r="AL26" s="27">
        <f t="shared" si="41"/>
        <v>47.27265006485959</v>
      </c>
      <c r="AM26" s="75"/>
      <c r="AN26" s="27">
        <f t="shared" si="42"/>
        <v>73129.613811200456</v>
      </c>
      <c r="AO26" s="27">
        <f t="shared" si="43"/>
        <v>15395.708170779044</v>
      </c>
      <c r="AP26" s="27">
        <f t="shared" si="44"/>
        <v>8129.119404631223</v>
      </c>
      <c r="AQ26" s="27">
        <f t="shared" si="45"/>
        <v>1711.1494924751405</v>
      </c>
      <c r="AR26" s="75"/>
    </row>
    <row r="27" spans="1:48" x14ac:dyDescent="0.2">
      <c r="A27" s="3" t="s">
        <v>49</v>
      </c>
      <c r="B27">
        <v>1522</v>
      </c>
      <c r="C27">
        <v>1386</v>
      </c>
      <c r="D27">
        <v>1.43</v>
      </c>
      <c r="E27">
        <v>0.42299999999999999</v>
      </c>
      <c r="F27" s="2">
        <f t="shared" si="23"/>
        <v>643.80599999999993</v>
      </c>
      <c r="G27" t="s">
        <v>11</v>
      </c>
      <c r="H27" s="20"/>
      <c r="I27" s="20"/>
      <c r="J27">
        <v>644</v>
      </c>
      <c r="K27">
        <v>1.43</v>
      </c>
      <c r="L27">
        <f t="shared" si="46"/>
        <v>920.92</v>
      </c>
      <c r="M27">
        <v>157.69999999999999</v>
      </c>
      <c r="N27">
        <v>33.200000000000003</v>
      </c>
      <c r="O27">
        <v>17.53</v>
      </c>
      <c r="P27">
        <v>3.69</v>
      </c>
      <c r="Q27" s="75"/>
      <c r="R27" s="27">
        <f t="shared" si="24"/>
        <v>145229.08399999997</v>
      </c>
      <c r="S27" s="27">
        <f t="shared" si="25"/>
        <v>30574.544000000002</v>
      </c>
      <c r="T27" s="27">
        <f t="shared" si="26"/>
        <v>16143.7276</v>
      </c>
      <c r="U27" s="27">
        <f t="shared" si="27"/>
        <v>3398.1947999999998</v>
      </c>
      <c r="V27" s="75"/>
      <c r="W27" s="27">
        <f t="shared" si="28"/>
        <v>304.98107639999995</v>
      </c>
      <c r="X27" s="27">
        <f t="shared" si="29"/>
        <v>64.206542400000004</v>
      </c>
      <c r="Y27" s="27">
        <f t="shared" si="30"/>
        <v>33.901827959999999</v>
      </c>
      <c r="Z27" s="27">
        <f t="shared" si="31"/>
        <v>7.1362090799999987</v>
      </c>
      <c r="AA27" s="75"/>
      <c r="AB27" s="27">
        <f t="shared" si="32"/>
        <v>144924.10292359997</v>
      </c>
      <c r="AC27" s="27">
        <f t="shared" si="33"/>
        <v>30510.337457600002</v>
      </c>
      <c r="AD27" s="27">
        <f t="shared" si="34"/>
        <v>16109.82577204</v>
      </c>
      <c r="AE27" s="27">
        <f t="shared" si="35"/>
        <v>3391.0585909199999</v>
      </c>
      <c r="AF27">
        <v>0</v>
      </c>
      <c r="AG27" s="34">
        <f t="shared" si="36"/>
        <v>0</v>
      </c>
      <c r="AH27" s="34">
        <f t="shared" si="37"/>
        <v>1</v>
      </c>
      <c r="AI27" s="27">
        <f t="shared" si="38"/>
        <v>0</v>
      </c>
      <c r="AJ27" s="27">
        <f t="shared" si="39"/>
        <v>0</v>
      </c>
      <c r="AK27" s="27">
        <f t="shared" si="40"/>
        <v>0</v>
      </c>
      <c r="AL27" s="27">
        <f t="shared" si="41"/>
        <v>0</v>
      </c>
      <c r="AM27" s="75"/>
      <c r="AN27" s="27">
        <f t="shared" si="42"/>
        <v>144924.10292359997</v>
      </c>
      <c r="AO27" s="27">
        <f t="shared" si="43"/>
        <v>30510.337457600002</v>
      </c>
      <c r="AP27" s="27">
        <f t="shared" si="44"/>
        <v>16109.82577204</v>
      </c>
      <c r="AQ27" s="27">
        <f t="shared" si="45"/>
        <v>3391.0585909199999</v>
      </c>
      <c r="AR27" s="75"/>
    </row>
    <row r="28" spans="1:48" x14ac:dyDescent="0.2">
      <c r="A28" s="3" t="s">
        <v>50</v>
      </c>
      <c r="B28">
        <v>1607</v>
      </c>
      <c r="C28">
        <v>1723</v>
      </c>
      <c r="D28">
        <v>0.67</v>
      </c>
      <c r="E28">
        <v>0.66</v>
      </c>
      <c r="F28" s="2">
        <f t="shared" si="23"/>
        <v>1060.6200000000001</v>
      </c>
      <c r="G28" t="s">
        <v>11</v>
      </c>
      <c r="H28" s="20"/>
      <c r="I28" s="20"/>
      <c r="J28">
        <v>1061</v>
      </c>
      <c r="K28">
        <v>0.67</v>
      </c>
      <c r="L28">
        <f t="shared" si="46"/>
        <v>710.87</v>
      </c>
      <c r="M28">
        <v>157.69999999999999</v>
      </c>
      <c r="N28">
        <v>33.200000000000003</v>
      </c>
      <c r="O28">
        <v>17.53</v>
      </c>
      <c r="P28">
        <v>3.69</v>
      </c>
      <c r="Q28" s="75"/>
      <c r="R28" s="27">
        <f t="shared" si="24"/>
        <v>112104.19899999999</v>
      </c>
      <c r="S28" s="27">
        <f t="shared" si="25"/>
        <v>23600.884000000002</v>
      </c>
      <c r="T28" s="27">
        <f t="shared" si="26"/>
        <v>12461.551100000001</v>
      </c>
      <c r="U28" s="27">
        <f t="shared" si="27"/>
        <v>2623.1102999999998</v>
      </c>
      <c r="V28" s="75"/>
      <c r="W28" s="27">
        <f t="shared" si="28"/>
        <v>235.41881789999996</v>
      </c>
      <c r="X28" s="27">
        <f t="shared" si="29"/>
        <v>49.561856400000003</v>
      </c>
      <c r="Y28" s="27">
        <f t="shared" si="30"/>
        <v>26.169257309999999</v>
      </c>
      <c r="Z28" s="27">
        <f t="shared" si="31"/>
        <v>5.5085316299999993</v>
      </c>
      <c r="AA28" s="75"/>
      <c r="AB28" s="27">
        <f t="shared" si="32"/>
        <v>111868.78018209999</v>
      </c>
      <c r="AC28" s="27">
        <f t="shared" si="33"/>
        <v>23551.322143600002</v>
      </c>
      <c r="AD28" s="27">
        <f t="shared" si="34"/>
        <v>12435.38184269</v>
      </c>
      <c r="AE28" s="27">
        <f t="shared" si="35"/>
        <v>2617.6017683699997</v>
      </c>
      <c r="AF28">
        <v>121</v>
      </c>
      <c r="AG28" s="34">
        <f t="shared" si="36"/>
        <v>1.3812785388127854E-2</v>
      </c>
      <c r="AH28" s="34">
        <f t="shared" si="37"/>
        <v>0.9861872146118722</v>
      </c>
      <c r="AI28" s="27">
        <f t="shared" si="38"/>
        <v>772.60972614349873</v>
      </c>
      <c r="AJ28" s="27">
        <f t="shared" si="39"/>
        <v>162.65467918810504</v>
      </c>
      <c r="AK28" s="27">
        <f t="shared" si="40"/>
        <v>85.88363030624943</v>
      </c>
      <c r="AL28" s="27">
        <f t="shared" si="41"/>
        <v>18.078185729039383</v>
      </c>
      <c r="AM28" s="75"/>
      <c r="AN28" s="27">
        <f t="shared" si="42"/>
        <v>111096.17045595648</v>
      </c>
      <c r="AO28" s="27">
        <f t="shared" si="43"/>
        <v>23388.667464411898</v>
      </c>
      <c r="AP28" s="27">
        <f t="shared" si="44"/>
        <v>12349.498212383751</v>
      </c>
      <c r="AQ28" s="27">
        <f t="shared" si="45"/>
        <v>2599.5235826409607</v>
      </c>
      <c r="AR28" s="75"/>
    </row>
    <row r="29" spans="1:48" x14ac:dyDescent="0.2">
      <c r="A29" s="3" t="s">
        <v>51</v>
      </c>
      <c r="B29">
        <v>1212</v>
      </c>
      <c r="C29">
        <v>741</v>
      </c>
      <c r="D29">
        <v>6.44</v>
      </c>
      <c r="E29">
        <v>0.95</v>
      </c>
      <c r="F29" s="2">
        <f t="shared" si="23"/>
        <v>1151.3999999999999</v>
      </c>
      <c r="G29" t="s">
        <v>11</v>
      </c>
      <c r="H29" s="20"/>
      <c r="I29" s="20"/>
      <c r="J29">
        <v>1151</v>
      </c>
      <c r="K29">
        <v>6.44</v>
      </c>
      <c r="L29">
        <f t="shared" si="46"/>
        <v>7412.4400000000005</v>
      </c>
      <c r="M29">
        <v>157.69999999999999</v>
      </c>
      <c r="N29">
        <v>33.200000000000003</v>
      </c>
      <c r="O29">
        <v>17.53</v>
      </c>
      <c r="P29">
        <v>3.69</v>
      </c>
      <c r="Q29" s="75"/>
      <c r="R29" s="27">
        <f t="shared" si="24"/>
        <v>1168941.7879999999</v>
      </c>
      <c r="S29" s="27">
        <f t="shared" si="25"/>
        <v>246093.00800000003</v>
      </c>
      <c r="T29" s="27">
        <f t="shared" si="26"/>
        <v>129940.07320000001</v>
      </c>
      <c r="U29" s="27">
        <f t="shared" si="27"/>
        <v>27351.903600000001</v>
      </c>
      <c r="V29" s="75"/>
      <c r="W29" s="27">
        <f t="shared" si="28"/>
        <v>2454.7777547999999</v>
      </c>
      <c r="X29" s="27">
        <f t="shared" si="29"/>
        <v>516.79531680000002</v>
      </c>
      <c r="Y29" s="27">
        <f t="shared" si="30"/>
        <v>272.87415372000004</v>
      </c>
      <c r="Z29" s="27">
        <f t="shared" si="31"/>
        <v>57.438997559999997</v>
      </c>
      <c r="AA29" s="75"/>
      <c r="AB29" s="27">
        <f t="shared" si="32"/>
        <v>1166487.0102452</v>
      </c>
      <c r="AC29" s="27">
        <f t="shared" si="33"/>
        <v>245576.21268320002</v>
      </c>
      <c r="AD29" s="27">
        <f t="shared" si="34"/>
        <v>129667.19904628002</v>
      </c>
      <c r="AE29" s="27">
        <f t="shared" si="35"/>
        <v>27294.464602440003</v>
      </c>
      <c r="AF29">
        <v>2</v>
      </c>
      <c r="AG29" s="34">
        <f t="shared" si="36"/>
        <v>2.2831050228310502E-4</v>
      </c>
      <c r="AH29" s="34">
        <f t="shared" si="37"/>
        <v>0.99977168949771689</v>
      </c>
      <c r="AI29" s="27">
        <f t="shared" si="38"/>
        <v>133.16061760789955</v>
      </c>
      <c r="AJ29" s="27">
        <f t="shared" si="39"/>
        <v>28.033814233242012</v>
      </c>
      <c r="AK29" s="27">
        <f t="shared" si="40"/>
        <v>14.802191671949773</v>
      </c>
      <c r="AL29" s="27">
        <f t="shared" si="41"/>
        <v>3.1158064614657537</v>
      </c>
      <c r="AM29" s="75"/>
      <c r="AN29" s="27">
        <f t="shared" si="42"/>
        <v>1166353.8496275921</v>
      </c>
      <c r="AO29" s="27">
        <f t="shared" si="43"/>
        <v>245548.17886896676</v>
      </c>
      <c r="AP29" s="27">
        <f t="shared" si="44"/>
        <v>129652.39685460806</v>
      </c>
      <c r="AQ29" s="27">
        <f t="shared" si="45"/>
        <v>27291.348795978534</v>
      </c>
      <c r="AR29" s="75"/>
    </row>
    <row r="30" spans="1:48" x14ac:dyDescent="0.2">
      <c r="A30" s="3" t="s">
        <v>52</v>
      </c>
      <c r="B30">
        <v>1569</v>
      </c>
      <c r="C30">
        <v>87</v>
      </c>
      <c r="D30">
        <v>1.47</v>
      </c>
      <c r="E30">
        <v>0.21</v>
      </c>
      <c r="F30" s="2">
        <f t="shared" si="23"/>
        <v>329.49</v>
      </c>
      <c r="G30" t="s">
        <v>11</v>
      </c>
      <c r="H30" s="20"/>
      <c r="I30" s="20"/>
      <c r="J30">
        <v>329</v>
      </c>
      <c r="K30">
        <v>1.47</v>
      </c>
      <c r="L30">
        <f t="shared" si="46"/>
        <v>483.63</v>
      </c>
      <c r="M30">
        <v>157.69999999999999</v>
      </c>
      <c r="N30">
        <v>33.200000000000003</v>
      </c>
      <c r="O30">
        <v>17.53</v>
      </c>
      <c r="P30">
        <v>3.69</v>
      </c>
      <c r="Q30" s="75"/>
      <c r="R30" s="27">
        <f t="shared" si="24"/>
        <v>76268.451000000001</v>
      </c>
      <c r="S30" s="27">
        <f t="shared" si="25"/>
        <v>16056.516000000001</v>
      </c>
      <c r="T30" s="27">
        <f t="shared" si="26"/>
        <v>8478.0339000000004</v>
      </c>
      <c r="U30" s="27">
        <f t="shared" si="27"/>
        <v>1784.5946999999999</v>
      </c>
      <c r="V30" s="75"/>
      <c r="W30" s="27">
        <f t="shared" si="28"/>
        <v>160.16374709999999</v>
      </c>
      <c r="X30" s="27">
        <f t="shared" si="29"/>
        <v>33.718683599999999</v>
      </c>
      <c r="Y30" s="27">
        <f t="shared" si="30"/>
        <v>17.803871189999999</v>
      </c>
      <c r="Z30" s="27">
        <f t="shared" si="31"/>
        <v>3.7476488699999995</v>
      </c>
      <c r="AA30" s="75"/>
      <c r="AB30" s="27">
        <f t="shared" si="32"/>
        <v>76108.287252900001</v>
      </c>
      <c r="AC30" s="27">
        <f t="shared" si="33"/>
        <v>16022.797316400001</v>
      </c>
      <c r="AD30" s="27">
        <f t="shared" si="34"/>
        <v>8460.2300288099996</v>
      </c>
      <c r="AE30" s="27">
        <f t="shared" si="35"/>
        <v>1780.84705113</v>
      </c>
      <c r="AF30">
        <v>0</v>
      </c>
      <c r="AG30" s="34">
        <f t="shared" si="36"/>
        <v>0</v>
      </c>
      <c r="AH30" s="34">
        <f t="shared" si="37"/>
        <v>1</v>
      </c>
      <c r="AI30" s="27">
        <f t="shared" si="38"/>
        <v>0</v>
      </c>
      <c r="AJ30" s="27">
        <f t="shared" si="39"/>
        <v>0</v>
      </c>
      <c r="AK30" s="27">
        <f t="shared" si="40"/>
        <v>0</v>
      </c>
      <c r="AL30" s="27">
        <f t="shared" si="41"/>
        <v>0</v>
      </c>
      <c r="AM30" s="75"/>
      <c r="AN30" s="27">
        <f t="shared" si="42"/>
        <v>76108.287252900001</v>
      </c>
      <c r="AO30" s="27">
        <f t="shared" si="43"/>
        <v>16022.797316400001</v>
      </c>
      <c r="AP30" s="27">
        <f t="shared" si="44"/>
        <v>8460.2300288099996</v>
      </c>
      <c r="AQ30" s="27">
        <f t="shared" si="45"/>
        <v>1780.84705113</v>
      </c>
      <c r="AR30" s="75"/>
    </row>
    <row r="31" spans="1:48" x14ac:dyDescent="0.2">
      <c r="A31" s="3" t="s">
        <v>54</v>
      </c>
      <c r="B31">
        <v>1540</v>
      </c>
      <c r="C31">
        <v>570</v>
      </c>
      <c r="D31">
        <v>1.19</v>
      </c>
      <c r="E31">
        <v>0.15</v>
      </c>
      <c r="F31" s="2">
        <f t="shared" si="23"/>
        <v>231</v>
      </c>
      <c r="G31" t="s">
        <v>11</v>
      </c>
      <c r="H31" s="20"/>
      <c r="I31" s="20"/>
      <c r="J31">
        <v>231</v>
      </c>
      <c r="K31">
        <v>1.19</v>
      </c>
      <c r="L31">
        <f t="shared" si="46"/>
        <v>274.89</v>
      </c>
      <c r="M31">
        <v>157.69999999999999</v>
      </c>
      <c r="N31">
        <v>33.200000000000003</v>
      </c>
      <c r="O31">
        <v>17.53</v>
      </c>
      <c r="P31">
        <v>3.69</v>
      </c>
      <c r="Q31" s="75"/>
      <c r="R31" s="27">
        <f t="shared" si="24"/>
        <v>43350.152999999991</v>
      </c>
      <c r="S31" s="27">
        <f t="shared" si="25"/>
        <v>9126.348</v>
      </c>
      <c r="T31" s="27">
        <f t="shared" si="26"/>
        <v>4818.8217000000004</v>
      </c>
      <c r="U31" s="27">
        <f t="shared" si="27"/>
        <v>1014.3440999999999</v>
      </c>
      <c r="V31" s="75"/>
      <c r="W31" s="27">
        <f t="shared" si="28"/>
        <v>91.035321299999978</v>
      </c>
      <c r="X31" s="27">
        <f t="shared" si="29"/>
        <v>19.1653308</v>
      </c>
      <c r="Y31" s="27">
        <f t="shared" si="30"/>
        <v>10.11952557</v>
      </c>
      <c r="Z31" s="27">
        <f t="shared" si="31"/>
        <v>2.1301226099999995</v>
      </c>
      <c r="AA31" s="75"/>
      <c r="AB31" s="27">
        <f t="shared" si="32"/>
        <v>43259.117678699993</v>
      </c>
      <c r="AC31" s="27">
        <f t="shared" si="33"/>
        <v>9107.1826691999995</v>
      </c>
      <c r="AD31" s="27">
        <f t="shared" si="34"/>
        <v>4808.70217443</v>
      </c>
      <c r="AE31" s="27">
        <f t="shared" si="35"/>
        <v>1012.21397739</v>
      </c>
      <c r="AF31">
        <v>19</v>
      </c>
      <c r="AG31" s="34">
        <f t="shared" si="36"/>
        <v>2.1689497716894978E-3</v>
      </c>
      <c r="AH31" s="34">
        <f t="shared" si="37"/>
        <v>0.99783105022831053</v>
      </c>
      <c r="AI31" s="27">
        <f t="shared" si="38"/>
        <v>46.91342670635273</v>
      </c>
      <c r="AJ31" s="27">
        <f t="shared" si="39"/>
        <v>9.8765108855479458</v>
      </c>
      <c r="AK31" s="27">
        <f t="shared" si="40"/>
        <v>5.2149167416763698</v>
      </c>
      <c r="AL31" s="27">
        <f t="shared" si="41"/>
        <v>1.0977206375804796</v>
      </c>
      <c r="AM31" s="75"/>
      <c r="AN31" s="27">
        <f t="shared" si="42"/>
        <v>43212.204251993637</v>
      </c>
      <c r="AO31" s="27">
        <f t="shared" si="43"/>
        <v>9097.3061583144517</v>
      </c>
      <c r="AP31" s="27">
        <f t="shared" si="44"/>
        <v>4803.4872576883236</v>
      </c>
      <c r="AQ31" s="27">
        <f t="shared" si="45"/>
        <v>1011.1162567524195</v>
      </c>
      <c r="AR31" s="75"/>
    </row>
    <row r="32" spans="1:48" x14ac:dyDescent="0.2">
      <c r="A32" s="3" t="s">
        <v>55</v>
      </c>
      <c r="B32">
        <v>1512</v>
      </c>
      <c r="C32">
        <v>1053</v>
      </c>
      <c r="D32">
        <v>0.46</v>
      </c>
      <c r="E32">
        <v>0.1</v>
      </c>
      <c r="F32" s="2">
        <f t="shared" si="23"/>
        <v>151.20000000000002</v>
      </c>
      <c r="G32" t="s">
        <v>11</v>
      </c>
      <c r="H32" s="20"/>
      <c r="I32" s="20"/>
      <c r="J32">
        <v>151</v>
      </c>
      <c r="K32">
        <v>0.46</v>
      </c>
      <c r="L32">
        <f t="shared" si="46"/>
        <v>69.460000000000008</v>
      </c>
      <c r="M32">
        <v>157.69999999999999</v>
      </c>
      <c r="N32">
        <v>33.200000000000003</v>
      </c>
      <c r="O32">
        <v>17.53</v>
      </c>
      <c r="P32">
        <v>3.69</v>
      </c>
      <c r="Q32" s="75"/>
      <c r="R32" s="27">
        <f t="shared" si="24"/>
        <v>10953.842000000001</v>
      </c>
      <c r="S32" s="27">
        <f t="shared" si="25"/>
        <v>2306.0720000000006</v>
      </c>
      <c r="T32" s="27">
        <f t="shared" si="26"/>
        <v>1217.6338000000003</v>
      </c>
      <c r="U32" s="27">
        <f t="shared" si="27"/>
        <v>256.30740000000003</v>
      </c>
      <c r="V32" s="75"/>
      <c r="W32" s="27">
        <f t="shared" si="28"/>
        <v>23.003068200000001</v>
      </c>
      <c r="X32" s="27">
        <f t="shared" si="29"/>
        <v>4.8427512000000013</v>
      </c>
      <c r="Y32" s="27">
        <f t="shared" si="30"/>
        <v>2.5570309800000004</v>
      </c>
      <c r="Z32" s="27">
        <f t="shared" si="31"/>
        <v>0.53824554000000002</v>
      </c>
      <c r="AA32" s="75"/>
      <c r="AB32" s="27">
        <f t="shared" si="32"/>
        <v>10930.838931800001</v>
      </c>
      <c r="AC32" s="27">
        <f t="shared" si="33"/>
        <v>2301.2292488000007</v>
      </c>
      <c r="AD32" s="27">
        <f t="shared" si="34"/>
        <v>1215.0767690200003</v>
      </c>
      <c r="AE32" s="27">
        <f t="shared" si="35"/>
        <v>255.76915446000004</v>
      </c>
      <c r="AF32">
        <v>11</v>
      </c>
      <c r="AG32" s="34">
        <f t="shared" si="36"/>
        <v>1.2557077625570776E-3</v>
      </c>
      <c r="AH32" s="34">
        <f t="shared" si="37"/>
        <v>0.99874429223744288</v>
      </c>
      <c r="AI32" s="27">
        <f t="shared" si="38"/>
        <v>6.8629696489611876</v>
      </c>
      <c r="AJ32" s="27">
        <f t="shared" si="39"/>
        <v>1.4448357155707767</v>
      </c>
      <c r="AK32" s="27">
        <f t="shared" si="40"/>
        <v>0.7628906654805937</v>
      </c>
      <c r="AL32" s="27">
        <f t="shared" si="41"/>
        <v>0.16058565633904112</v>
      </c>
      <c r="AM32" s="75"/>
      <c r="AN32" s="27">
        <f t="shared" si="42"/>
        <v>10923.975962151038</v>
      </c>
      <c r="AO32" s="27">
        <f t="shared" si="43"/>
        <v>2299.7844130844296</v>
      </c>
      <c r="AP32" s="27">
        <f t="shared" si="44"/>
        <v>1214.3138783545196</v>
      </c>
      <c r="AQ32" s="27">
        <f t="shared" si="45"/>
        <v>255.60856880366097</v>
      </c>
      <c r="AR32" s="75"/>
    </row>
    <row r="33" spans="1:44" x14ac:dyDescent="0.2">
      <c r="A33" s="3" t="s">
        <v>56</v>
      </c>
      <c r="B33">
        <v>1568</v>
      </c>
      <c r="C33">
        <v>87</v>
      </c>
      <c r="D33">
        <v>0.66</v>
      </c>
      <c r="E33">
        <v>0.05</v>
      </c>
      <c r="F33" s="2">
        <f t="shared" si="23"/>
        <v>78.400000000000006</v>
      </c>
      <c r="G33" t="s">
        <v>11</v>
      </c>
      <c r="H33" s="20"/>
      <c r="I33" s="20"/>
      <c r="J33">
        <v>78</v>
      </c>
      <c r="K33">
        <v>0.66</v>
      </c>
      <c r="L33">
        <f t="shared" si="46"/>
        <v>51.480000000000004</v>
      </c>
      <c r="M33">
        <v>157.69999999999999</v>
      </c>
      <c r="N33">
        <v>33.200000000000003</v>
      </c>
      <c r="O33">
        <v>17.53</v>
      </c>
      <c r="P33">
        <v>3.69</v>
      </c>
      <c r="Q33" s="75"/>
      <c r="R33" s="27">
        <f t="shared" si="24"/>
        <v>8118.3959999999997</v>
      </c>
      <c r="S33" s="27">
        <f t="shared" si="25"/>
        <v>1709.1360000000002</v>
      </c>
      <c r="T33" s="27">
        <f t="shared" si="26"/>
        <v>902.44440000000009</v>
      </c>
      <c r="U33" s="27">
        <f t="shared" si="27"/>
        <v>189.96120000000002</v>
      </c>
      <c r="V33" s="75"/>
      <c r="W33" s="27">
        <f t="shared" si="28"/>
        <v>17.048631599999997</v>
      </c>
      <c r="X33" s="27">
        <f t="shared" si="29"/>
        <v>3.5891856</v>
      </c>
      <c r="Y33" s="27">
        <f t="shared" si="30"/>
        <v>1.8951332400000001</v>
      </c>
      <c r="Z33" s="27">
        <f t="shared" si="31"/>
        <v>0.39891852</v>
      </c>
      <c r="AA33" s="75"/>
      <c r="AB33" s="27">
        <f t="shared" si="32"/>
        <v>8101.3473684000001</v>
      </c>
      <c r="AC33" s="27">
        <f t="shared" si="33"/>
        <v>1705.5468144000001</v>
      </c>
      <c r="AD33" s="27">
        <f t="shared" si="34"/>
        <v>900.54926676000014</v>
      </c>
      <c r="AE33" s="27">
        <f t="shared" si="35"/>
        <v>189.56228148000002</v>
      </c>
      <c r="AF33">
        <v>112</v>
      </c>
      <c r="AG33" s="34">
        <f t="shared" si="36"/>
        <v>1.2785388127853882E-2</v>
      </c>
      <c r="AH33" s="34">
        <f t="shared" si="37"/>
        <v>0.9872146118721461</v>
      </c>
      <c r="AI33" s="27">
        <f t="shared" si="38"/>
        <v>51.789435231780828</v>
      </c>
      <c r="AJ33" s="27">
        <f t="shared" si="39"/>
        <v>10.903038996164385</v>
      </c>
      <c r="AK33" s="27">
        <f t="shared" si="40"/>
        <v>5.7569359518904122</v>
      </c>
      <c r="AL33" s="27">
        <f t="shared" si="41"/>
        <v>1.2118136715616441</v>
      </c>
      <c r="AM33" s="75"/>
      <c r="AN33" s="27">
        <f t="shared" si="42"/>
        <v>8049.5579331682193</v>
      </c>
      <c r="AO33" s="27">
        <f t="shared" si="43"/>
        <v>1694.6437754038359</v>
      </c>
      <c r="AP33" s="27">
        <f t="shared" si="44"/>
        <v>894.7923308081098</v>
      </c>
      <c r="AQ33" s="27">
        <f t="shared" si="45"/>
        <v>188.3504678084384</v>
      </c>
      <c r="AR33" s="75"/>
    </row>
    <row r="34" spans="1:44" x14ac:dyDescent="0.2">
      <c r="A34" s="3" t="s">
        <v>53</v>
      </c>
      <c r="B34">
        <v>1540</v>
      </c>
      <c r="C34">
        <v>570</v>
      </c>
      <c r="D34">
        <v>1.23</v>
      </c>
      <c r="E34">
        <v>0.12</v>
      </c>
      <c r="F34" s="2">
        <f t="shared" si="23"/>
        <v>184.79999999999998</v>
      </c>
      <c r="G34" t="s">
        <v>11</v>
      </c>
      <c r="H34" s="20"/>
      <c r="I34" s="20"/>
      <c r="J34">
        <v>185</v>
      </c>
      <c r="K34">
        <v>1.23</v>
      </c>
      <c r="L34">
        <f t="shared" si="46"/>
        <v>227.54999999999998</v>
      </c>
      <c r="M34">
        <v>157.69999999999999</v>
      </c>
      <c r="N34">
        <v>33.200000000000003</v>
      </c>
      <c r="O34">
        <v>17.53</v>
      </c>
      <c r="P34">
        <v>3.69</v>
      </c>
      <c r="Q34" s="75"/>
      <c r="R34" s="27">
        <f t="shared" si="24"/>
        <v>35884.634999999995</v>
      </c>
      <c r="S34" s="27">
        <f t="shared" si="25"/>
        <v>7554.66</v>
      </c>
      <c r="T34" s="27">
        <f t="shared" si="26"/>
        <v>3988.9515000000001</v>
      </c>
      <c r="U34" s="27">
        <f t="shared" si="27"/>
        <v>839.65949999999998</v>
      </c>
      <c r="V34" s="75"/>
      <c r="W34" s="27">
        <f t="shared" si="28"/>
        <v>75.357733499999981</v>
      </c>
      <c r="X34" s="27">
        <f t="shared" si="29"/>
        <v>15.864785999999999</v>
      </c>
      <c r="Y34" s="27">
        <f t="shared" si="30"/>
        <v>8.3767981499999991</v>
      </c>
      <c r="Z34" s="27">
        <f t="shared" si="31"/>
        <v>1.7632849499999999</v>
      </c>
      <c r="AA34" s="75"/>
      <c r="AB34" s="27">
        <f t="shared" si="32"/>
        <v>35809.277266499994</v>
      </c>
      <c r="AC34" s="27">
        <f t="shared" si="33"/>
        <v>7538.7952139999998</v>
      </c>
      <c r="AD34" s="27">
        <f t="shared" si="34"/>
        <v>3980.5747018500001</v>
      </c>
      <c r="AE34" s="27">
        <f t="shared" si="35"/>
        <v>837.89621505000002</v>
      </c>
      <c r="AF34">
        <v>24</v>
      </c>
      <c r="AG34" s="34">
        <f t="shared" si="36"/>
        <v>2.7397260273972603E-3</v>
      </c>
      <c r="AH34" s="34">
        <f t="shared" si="37"/>
        <v>0.99726027397260275</v>
      </c>
      <c r="AI34" s="27">
        <f t="shared" si="38"/>
        <v>49.053804474657525</v>
      </c>
      <c r="AJ34" s="27">
        <f t="shared" si="39"/>
        <v>10.32711673150685</v>
      </c>
      <c r="AK34" s="27">
        <f t="shared" si="40"/>
        <v>5.452842057328767</v>
      </c>
      <c r="AL34" s="27">
        <f t="shared" si="41"/>
        <v>1.1478030343150685</v>
      </c>
      <c r="AM34" s="75"/>
      <c r="AN34" s="27">
        <f t="shared" si="42"/>
        <v>35760.223462025337</v>
      </c>
      <c r="AO34" s="27">
        <f t="shared" si="43"/>
        <v>7528.4680972684928</v>
      </c>
      <c r="AP34" s="27">
        <f t="shared" si="44"/>
        <v>3975.1218597926713</v>
      </c>
      <c r="AQ34" s="27">
        <f t="shared" si="45"/>
        <v>836.74841201568495</v>
      </c>
      <c r="AR34" s="75"/>
    </row>
    <row r="35" spans="1:44" x14ac:dyDescent="0.2">
      <c r="A35" s="3" t="s">
        <v>57</v>
      </c>
      <c r="B35">
        <v>1927</v>
      </c>
      <c r="C35">
        <v>748</v>
      </c>
      <c r="D35">
        <v>1.35</v>
      </c>
      <c r="E35">
        <v>0.2</v>
      </c>
      <c r="F35" s="2">
        <f t="shared" si="23"/>
        <v>385.40000000000003</v>
      </c>
      <c r="G35" t="s">
        <v>11</v>
      </c>
      <c r="H35" s="20"/>
      <c r="I35" s="20"/>
      <c r="J35">
        <v>385</v>
      </c>
      <c r="K35">
        <v>1.35</v>
      </c>
      <c r="L35">
        <f t="shared" si="46"/>
        <v>519.75</v>
      </c>
      <c r="M35">
        <v>157.69999999999999</v>
      </c>
      <c r="N35">
        <v>33.200000000000003</v>
      </c>
      <c r="O35">
        <v>17.53</v>
      </c>
      <c r="P35">
        <v>3.69</v>
      </c>
      <c r="Q35" s="75"/>
      <c r="R35" s="27">
        <f t="shared" si="24"/>
        <v>81964.574999999997</v>
      </c>
      <c r="S35" s="27">
        <f t="shared" si="25"/>
        <v>17255.7</v>
      </c>
      <c r="T35" s="27">
        <f t="shared" si="26"/>
        <v>9111.2175000000007</v>
      </c>
      <c r="U35" s="27">
        <f t="shared" si="27"/>
        <v>1917.8775000000001</v>
      </c>
      <c r="V35" s="75"/>
      <c r="W35" s="27">
        <f t="shared" si="28"/>
        <v>172.12560749999997</v>
      </c>
      <c r="X35" s="27">
        <f t="shared" si="29"/>
        <v>36.236969999999999</v>
      </c>
      <c r="Y35" s="27">
        <f t="shared" si="30"/>
        <v>19.13355675</v>
      </c>
      <c r="Z35" s="27">
        <f t="shared" si="31"/>
        <v>4.0275427500000003</v>
      </c>
      <c r="AA35" s="75"/>
      <c r="AB35" s="27">
        <f t="shared" si="32"/>
        <v>81792.449392499999</v>
      </c>
      <c r="AC35" s="27">
        <f t="shared" si="33"/>
        <v>17219.463029999999</v>
      </c>
      <c r="AD35" s="27">
        <f t="shared" si="34"/>
        <v>9092.0839432500015</v>
      </c>
      <c r="AE35" s="27">
        <f t="shared" si="35"/>
        <v>1913.84995725</v>
      </c>
      <c r="AF35">
        <v>288</v>
      </c>
      <c r="AG35" s="34">
        <f t="shared" si="36"/>
        <v>3.287671232876712E-2</v>
      </c>
      <c r="AH35" s="34">
        <f t="shared" si="37"/>
        <v>0.9671232876712329</v>
      </c>
      <c r="AI35" s="27">
        <f t="shared" si="38"/>
        <v>1344.5334146712328</v>
      </c>
      <c r="AJ35" s="27">
        <f t="shared" si="39"/>
        <v>283.05966624657532</v>
      </c>
      <c r="AK35" s="27">
        <f t="shared" si="40"/>
        <v>149.45891413561645</v>
      </c>
      <c r="AL35" s="27">
        <f t="shared" si="41"/>
        <v>31.460547242465751</v>
      </c>
      <c r="AM35" s="75"/>
      <c r="AN35" s="27">
        <f t="shared" si="42"/>
        <v>80447.915977828758</v>
      </c>
      <c r="AO35" s="27">
        <f t="shared" si="43"/>
        <v>16936.403363753423</v>
      </c>
      <c r="AP35" s="27">
        <f t="shared" si="44"/>
        <v>8942.6250291143861</v>
      </c>
      <c r="AQ35" s="27">
        <f t="shared" si="45"/>
        <v>1882.3894100075343</v>
      </c>
      <c r="AR35" s="75"/>
    </row>
    <row r="36" spans="1:44" x14ac:dyDescent="0.2">
      <c r="A36" s="3" t="s">
        <v>73</v>
      </c>
      <c r="B36">
        <v>1764</v>
      </c>
      <c r="C36">
        <v>1055</v>
      </c>
      <c r="D36">
        <v>0.98</v>
      </c>
      <c r="E36">
        <v>0.5</v>
      </c>
      <c r="F36" s="2">
        <f t="shared" si="23"/>
        <v>882</v>
      </c>
      <c r="G36" t="s">
        <v>11</v>
      </c>
      <c r="H36" s="20"/>
      <c r="I36" s="20"/>
      <c r="J36">
        <v>882</v>
      </c>
      <c r="K36">
        <v>0.98</v>
      </c>
      <c r="L36">
        <f t="shared" si="46"/>
        <v>864.36</v>
      </c>
      <c r="M36">
        <v>157.69999999999999</v>
      </c>
      <c r="N36">
        <v>33.200000000000003</v>
      </c>
      <c r="O36">
        <v>17.53</v>
      </c>
      <c r="P36">
        <v>3.69</v>
      </c>
      <c r="Q36" s="75"/>
      <c r="R36" s="27">
        <f t="shared" si="24"/>
        <v>136309.57199999999</v>
      </c>
      <c r="S36" s="27">
        <f t="shared" si="25"/>
        <v>28696.752000000004</v>
      </c>
      <c r="T36" s="27">
        <f t="shared" si="26"/>
        <v>15152.230800000001</v>
      </c>
      <c r="U36" s="27">
        <f t="shared" si="27"/>
        <v>3189.4884000000002</v>
      </c>
      <c r="V36" s="75"/>
      <c r="W36" s="27">
        <f t="shared" si="28"/>
        <v>286.25010119999996</v>
      </c>
      <c r="X36" s="27">
        <f t="shared" si="29"/>
        <v>60.263179200000003</v>
      </c>
      <c r="Y36" s="27">
        <f t="shared" si="30"/>
        <v>31.819684680000002</v>
      </c>
      <c r="Z36" s="27">
        <f t="shared" si="31"/>
        <v>6.6979256400000002</v>
      </c>
      <c r="AA36" s="75"/>
      <c r="AB36" s="27">
        <f t="shared" si="32"/>
        <v>136023.32189879997</v>
      </c>
      <c r="AC36" s="27">
        <f t="shared" si="33"/>
        <v>28636.488820800005</v>
      </c>
      <c r="AD36" s="27">
        <f t="shared" si="34"/>
        <v>15120.411115320001</v>
      </c>
      <c r="AE36" s="27">
        <f t="shared" si="35"/>
        <v>3182.7904743600002</v>
      </c>
      <c r="AF36">
        <v>43</v>
      </c>
      <c r="AG36" s="34">
        <f t="shared" si="36"/>
        <v>4.9086757990867581E-3</v>
      </c>
      <c r="AH36" s="34">
        <f t="shared" ref="AH36:AH50" si="47">1- AG36</f>
        <v>0.99509132420091329</v>
      </c>
      <c r="AI36" s="27">
        <f t="shared" ref="AI36:AI50" si="48" xml:space="preserve"> AB36 * AG36 / 2</f>
        <v>333.84719415801362</v>
      </c>
      <c r="AJ36" s="27">
        <f t="shared" ref="AJ36:AJ50" si="49" xml:space="preserve"> AC36 * AG36 / 2</f>
        <v>70.283619822739738</v>
      </c>
      <c r="AK36" s="27">
        <f t="shared" ref="AK36:AK50" si="50" xml:space="preserve"> AD36 * AG36 /2</f>
        <v>37.110598057006854</v>
      </c>
      <c r="AL36" s="27">
        <f t="shared" ref="AL36:AL50" si="51" xml:space="preserve"> AE36 *AG36 /2</f>
        <v>7.8116432875273976</v>
      </c>
      <c r="AM36" s="75"/>
      <c r="AN36" s="27">
        <f t="shared" si="42"/>
        <v>135689.47470464197</v>
      </c>
      <c r="AO36" s="27">
        <f t="shared" ref="AO36:AO50" si="52" xml:space="preserve"> AC36 * AH36 + AJ36</f>
        <v>28566.205200977267</v>
      </c>
      <c r="AP36" s="27">
        <f t="shared" ref="AP36:AP50" si="53" xml:space="preserve"> AD36 * AH36 + AK36</f>
        <v>15083.300517262995</v>
      </c>
      <c r="AQ36" s="27">
        <f t="shared" ref="AQ36:AQ50" si="54" xml:space="preserve"> AE36 * AH36 + AL36</f>
        <v>3174.9788310724725</v>
      </c>
      <c r="AR36" s="75"/>
    </row>
    <row r="37" spans="1:44" x14ac:dyDescent="0.2">
      <c r="A37" s="3" t="s">
        <v>59</v>
      </c>
      <c r="B37">
        <v>1648</v>
      </c>
      <c r="C37">
        <v>2043</v>
      </c>
      <c r="D37">
        <v>0.85</v>
      </c>
      <c r="F37" s="2">
        <f>B37*D37</f>
        <v>1400.8</v>
      </c>
      <c r="G37" t="s">
        <v>126</v>
      </c>
      <c r="H37" s="20"/>
      <c r="I37" s="20"/>
      <c r="J37">
        <v>1401</v>
      </c>
      <c r="K37">
        <v>0.85</v>
      </c>
      <c r="L37">
        <f t="shared" si="46"/>
        <v>1190.8499999999999</v>
      </c>
      <c r="M37">
        <v>157.69999999999999</v>
      </c>
      <c r="N37">
        <v>33.200000000000003</v>
      </c>
      <c r="O37">
        <v>17.53</v>
      </c>
      <c r="P37">
        <v>3.69</v>
      </c>
      <c r="Q37" s="75"/>
      <c r="R37" s="27">
        <f t="shared" si="24"/>
        <v>187797.04499999998</v>
      </c>
      <c r="S37" s="27">
        <f t="shared" si="25"/>
        <v>39536.22</v>
      </c>
      <c r="T37" s="27">
        <f t="shared" si="26"/>
        <v>20875.6005</v>
      </c>
      <c r="U37" s="27">
        <f t="shared" si="27"/>
        <v>4394.2365</v>
      </c>
      <c r="V37" s="75"/>
      <c r="W37" s="27">
        <f t="shared" si="28"/>
        <v>394.37379449999992</v>
      </c>
      <c r="X37" s="27">
        <f t="shared" si="29"/>
        <v>83.026061999999996</v>
      </c>
      <c r="Y37" s="27">
        <f t="shared" si="30"/>
        <v>43.838761049999995</v>
      </c>
      <c r="Z37" s="27">
        <f t="shared" si="31"/>
        <v>9.2278966499999999</v>
      </c>
      <c r="AA37" s="75"/>
      <c r="AB37" s="27">
        <f t="shared" si="32"/>
        <v>187402.6712055</v>
      </c>
      <c r="AC37" s="27">
        <f t="shared" si="33"/>
        <v>39453.193938000004</v>
      </c>
      <c r="AD37" s="27">
        <f t="shared" si="34"/>
        <v>20831.761738950001</v>
      </c>
      <c r="AE37" s="27">
        <f t="shared" si="35"/>
        <v>4385.0086033500002</v>
      </c>
      <c r="AF37">
        <v>207</v>
      </c>
      <c r="AG37" s="34">
        <f t="shared" si="36"/>
        <v>2.363013698630137E-2</v>
      </c>
      <c r="AH37" s="34">
        <f t="shared" si="47"/>
        <v>0.97636986301369866</v>
      </c>
      <c r="AI37" s="27">
        <f t="shared" si="48"/>
        <v>2214.1753960923802</v>
      </c>
      <c r="AJ37" s="27">
        <f t="shared" si="49"/>
        <v>466.14218865102742</v>
      </c>
      <c r="AK37" s="27">
        <f t="shared" si="50"/>
        <v>246.12869177869007</v>
      </c>
      <c r="AL37" s="27">
        <f t="shared" si="51"/>
        <v>51.809176991635276</v>
      </c>
      <c r="AM37" s="75"/>
      <c r="AN37" s="27">
        <f t="shared" si="42"/>
        <v>185188.49580940761</v>
      </c>
      <c r="AO37" s="27">
        <f t="shared" si="52"/>
        <v>38987.051749348982</v>
      </c>
      <c r="AP37" s="27">
        <f t="shared" si="53"/>
        <v>20585.633047171312</v>
      </c>
      <c r="AQ37" s="27">
        <f t="shared" si="54"/>
        <v>4333.1994263583656</v>
      </c>
      <c r="AR37" s="75"/>
    </row>
    <row r="38" spans="1:44" x14ac:dyDescent="0.2">
      <c r="A38" s="3" t="s">
        <v>60</v>
      </c>
      <c r="B38">
        <v>1503</v>
      </c>
      <c r="C38">
        <v>3031</v>
      </c>
      <c r="D38">
        <v>0.21</v>
      </c>
      <c r="F38" s="2">
        <f>B38*D38</f>
        <v>315.63</v>
      </c>
      <c r="G38" t="s">
        <v>16</v>
      </c>
      <c r="H38" s="20"/>
      <c r="I38" s="20"/>
      <c r="J38">
        <v>316</v>
      </c>
      <c r="K38">
        <v>0.21</v>
      </c>
      <c r="L38">
        <f t="shared" si="46"/>
        <v>66.36</v>
      </c>
      <c r="M38">
        <v>157.69999999999999</v>
      </c>
      <c r="N38">
        <v>33.200000000000003</v>
      </c>
      <c r="O38">
        <v>17.53</v>
      </c>
      <c r="P38">
        <v>3.69</v>
      </c>
      <c r="Q38" s="75"/>
      <c r="R38" s="27">
        <f t="shared" si="24"/>
        <v>10464.972</v>
      </c>
      <c r="S38" s="27">
        <f t="shared" si="25"/>
        <v>2203.152</v>
      </c>
      <c r="T38" s="27">
        <f t="shared" si="26"/>
        <v>1163.2908</v>
      </c>
      <c r="U38" s="27">
        <f t="shared" si="27"/>
        <v>244.86840000000001</v>
      </c>
      <c r="V38" s="75"/>
      <c r="W38" s="27">
        <f t="shared" si="28"/>
        <v>21.976441199999996</v>
      </c>
      <c r="X38" s="27">
        <f t="shared" si="29"/>
        <v>4.6266191999999995</v>
      </c>
      <c r="Y38" s="27">
        <f t="shared" si="30"/>
        <v>2.4429106799999998</v>
      </c>
      <c r="Z38" s="27">
        <f t="shared" si="31"/>
        <v>0.51422363999999998</v>
      </c>
      <c r="AA38" s="75"/>
      <c r="AB38" s="27">
        <f t="shared" si="32"/>
        <v>10442.995558799999</v>
      </c>
      <c r="AC38" s="27">
        <f t="shared" si="33"/>
        <v>2198.5253808000002</v>
      </c>
      <c r="AD38" s="27">
        <f t="shared" si="34"/>
        <v>1160.8478893199999</v>
      </c>
      <c r="AE38" s="27">
        <f t="shared" si="35"/>
        <v>244.35417636</v>
      </c>
      <c r="AF38">
        <v>315</v>
      </c>
      <c r="AG38" s="34">
        <f t="shared" si="36"/>
        <v>3.5958904109589039E-2</v>
      </c>
      <c r="AH38" s="34">
        <f t="shared" si="47"/>
        <v>0.96404109589041098</v>
      </c>
      <c r="AI38" s="27">
        <f t="shared" si="48"/>
        <v>187.75933795787668</v>
      </c>
      <c r="AJ38" s="27">
        <f t="shared" si="49"/>
        <v>39.52828167534247</v>
      </c>
      <c r="AK38" s="27">
        <f t="shared" si="50"/>
        <v>20.871408968938354</v>
      </c>
      <c r="AL38" s="27">
        <f t="shared" si="51"/>
        <v>4.3933541982534248</v>
      </c>
      <c r="AM38" s="75"/>
      <c r="AN38" s="27">
        <f t="shared" si="42"/>
        <v>10255.236220842124</v>
      </c>
      <c r="AO38" s="27">
        <f t="shared" si="52"/>
        <v>2158.9970991246578</v>
      </c>
      <c r="AP38" s="27">
        <f t="shared" si="53"/>
        <v>1139.9764803510616</v>
      </c>
      <c r="AQ38" s="27">
        <f t="shared" si="54"/>
        <v>239.96082216174659</v>
      </c>
      <c r="AR38" s="75"/>
    </row>
    <row r="39" spans="1:44" x14ac:dyDescent="0.2">
      <c r="A39" s="3" t="s">
        <v>61</v>
      </c>
      <c r="B39">
        <v>1913</v>
      </c>
      <c r="C39">
        <v>1266</v>
      </c>
      <c r="D39">
        <v>3.65</v>
      </c>
      <c r="E39">
        <v>1.59</v>
      </c>
      <c r="F39" s="2">
        <f t="shared" ref="F39:F50" si="55">B39*E39</f>
        <v>3041.67</v>
      </c>
      <c r="G39" t="s">
        <v>11</v>
      </c>
      <c r="H39" s="20"/>
      <c r="I39" s="20"/>
      <c r="J39">
        <v>3042</v>
      </c>
      <c r="K39">
        <v>1.59</v>
      </c>
      <c r="L39">
        <f t="shared" si="46"/>
        <v>4836.7800000000007</v>
      </c>
      <c r="M39">
        <v>157.69999999999999</v>
      </c>
      <c r="N39">
        <v>33.200000000000003</v>
      </c>
      <c r="O39">
        <v>17.53</v>
      </c>
      <c r="P39">
        <v>3.69</v>
      </c>
      <c r="Q39" s="75"/>
      <c r="R39" s="27">
        <f t="shared" si="24"/>
        <v>762760.20600000001</v>
      </c>
      <c r="S39" s="27">
        <f t="shared" si="25"/>
        <v>160581.09600000005</v>
      </c>
      <c r="T39" s="27">
        <f t="shared" si="26"/>
        <v>84788.753400000016</v>
      </c>
      <c r="U39" s="27">
        <f t="shared" si="27"/>
        <v>17847.718200000003</v>
      </c>
      <c r="V39" s="75"/>
      <c r="W39" s="27">
        <f t="shared" si="28"/>
        <v>1601.7964325999999</v>
      </c>
      <c r="X39" s="27">
        <f t="shared" si="29"/>
        <v>337.22030160000008</v>
      </c>
      <c r="Y39" s="27">
        <f t="shared" si="30"/>
        <v>178.05638214000001</v>
      </c>
      <c r="Z39" s="27">
        <f t="shared" si="31"/>
        <v>37.480208220000002</v>
      </c>
      <c r="AA39" s="75"/>
      <c r="AB39" s="27">
        <f t="shared" si="32"/>
        <v>761158.4095674</v>
      </c>
      <c r="AC39" s="27">
        <f t="shared" si="33"/>
        <v>160243.87569840005</v>
      </c>
      <c r="AD39" s="27">
        <f t="shared" si="34"/>
        <v>84610.697017860017</v>
      </c>
      <c r="AE39" s="27">
        <f t="shared" si="35"/>
        <v>17810.237991780003</v>
      </c>
      <c r="AF39">
        <v>114</v>
      </c>
      <c r="AG39" s="34">
        <f t="shared" si="36"/>
        <v>1.3013698630136987E-2</v>
      </c>
      <c r="AH39" s="34">
        <f t="shared" si="47"/>
        <v>0.98698630136986298</v>
      </c>
      <c r="AI39" s="27">
        <f t="shared" si="48"/>
        <v>4952.7430759522604</v>
      </c>
      <c r="AJ39" s="27">
        <f t="shared" si="49"/>
        <v>1042.6827528320553</v>
      </c>
      <c r="AK39" s="27">
        <f t="shared" si="50"/>
        <v>550.54905593813021</v>
      </c>
      <c r="AL39" s="27">
        <f t="shared" si="51"/>
        <v>115.88853487802056</v>
      </c>
      <c r="AM39" s="75"/>
      <c r="AN39" s="27">
        <f t="shared" si="42"/>
        <v>756205.66649144772</v>
      </c>
      <c r="AO39" s="27">
        <f t="shared" si="52"/>
        <v>159201.19294556798</v>
      </c>
      <c r="AP39" s="27">
        <f t="shared" si="53"/>
        <v>84060.147961921888</v>
      </c>
      <c r="AQ39" s="27">
        <f t="shared" si="54"/>
        <v>17694.349456901982</v>
      </c>
      <c r="AR39" s="75"/>
    </row>
    <row r="40" spans="1:44" x14ac:dyDescent="0.2">
      <c r="A40" s="3" t="s">
        <v>62</v>
      </c>
      <c r="B40">
        <v>1890</v>
      </c>
      <c r="C40">
        <v>1398</v>
      </c>
      <c r="D40">
        <v>0.62</v>
      </c>
      <c r="E40">
        <v>0.55000000000000004</v>
      </c>
      <c r="F40" s="2">
        <f t="shared" si="55"/>
        <v>1039.5</v>
      </c>
      <c r="G40" t="s">
        <v>11</v>
      </c>
      <c r="H40" s="20"/>
      <c r="I40" s="20"/>
      <c r="J40">
        <v>1040</v>
      </c>
      <c r="K40">
        <v>0.55000000000000004</v>
      </c>
      <c r="L40">
        <f t="shared" si="46"/>
        <v>572</v>
      </c>
      <c r="M40">
        <v>157.69999999999999</v>
      </c>
      <c r="N40">
        <v>33.200000000000003</v>
      </c>
      <c r="O40">
        <v>17.53</v>
      </c>
      <c r="P40">
        <v>3.69</v>
      </c>
      <c r="Q40" s="75"/>
      <c r="R40" s="27">
        <f t="shared" si="24"/>
        <v>90204.4</v>
      </c>
      <c r="S40" s="27">
        <f t="shared" si="25"/>
        <v>18990.400000000001</v>
      </c>
      <c r="T40" s="27">
        <f t="shared" si="26"/>
        <v>10027.16</v>
      </c>
      <c r="U40" s="27">
        <f t="shared" si="27"/>
        <v>2110.6799999999998</v>
      </c>
      <c r="V40" s="75"/>
      <c r="W40" s="27">
        <f t="shared" si="28"/>
        <v>189.42923999999996</v>
      </c>
      <c r="X40" s="27">
        <f t="shared" si="29"/>
        <v>39.879840000000002</v>
      </c>
      <c r="Y40" s="27">
        <f t="shared" si="30"/>
        <v>21.057036</v>
      </c>
      <c r="Z40" s="27">
        <f t="shared" si="31"/>
        <v>4.4324279999999998</v>
      </c>
      <c r="AA40" s="75"/>
      <c r="AB40" s="27">
        <f t="shared" si="32"/>
        <v>90014.970759999997</v>
      </c>
      <c r="AC40" s="27">
        <f t="shared" si="33"/>
        <v>18950.52016</v>
      </c>
      <c r="AD40" s="27">
        <f t="shared" si="34"/>
        <v>10006.102964</v>
      </c>
      <c r="AE40" s="27">
        <f t="shared" si="35"/>
        <v>2106.2475719999998</v>
      </c>
      <c r="AF40">
        <v>147</v>
      </c>
      <c r="AG40" s="34">
        <f t="shared" si="36"/>
        <v>1.678082191780822E-2</v>
      </c>
      <c r="AH40" s="34">
        <f t="shared" si="47"/>
        <v>0.98321917808219172</v>
      </c>
      <c r="AI40" s="27">
        <f t="shared" si="48"/>
        <v>755.26259713013701</v>
      </c>
      <c r="AJ40" s="27">
        <f t="shared" si="49"/>
        <v>159.00265202739726</v>
      </c>
      <c r="AK40" s="27">
        <f t="shared" si="50"/>
        <v>83.955315965068493</v>
      </c>
      <c r="AL40" s="27">
        <f t="shared" si="51"/>
        <v>17.672282710273972</v>
      </c>
      <c r="AM40" s="75"/>
      <c r="AN40" s="27">
        <f t="shared" si="42"/>
        <v>89259.708162869851</v>
      </c>
      <c r="AO40" s="27">
        <f t="shared" si="52"/>
        <v>18791.5175079726</v>
      </c>
      <c r="AP40" s="27">
        <f t="shared" si="53"/>
        <v>9922.1476480349302</v>
      </c>
      <c r="AQ40" s="27">
        <f t="shared" si="54"/>
        <v>2088.5752892897258</v>
      </c>
      <c r="AR40" s="75"/>
    </row>
    <row r="41" spans="1:44" x14ac:dyDescent="0.2">
      <c r="A41" s="3" t="s">
        <v>63</v>
      </c>
      <c r="B41">
        <v>1776</v>
      </c>
      <c r="C41">
        <v>1568</v>
      </c>
      <c r="D41">
        <v>2.66</v>
      </c>
      <c r="E41">
        <v>1.78</v>
      </c>
      <c r="F41" s="2">
        <f t="shared" si="55"/>
        <v>3161.28</v>
      </c>
      <c r="G41" t="s">
        <v>11</v>
      </c>
      <c r="H41" s="20"/>
      <c r="I41" s="20"/>
      <c r="J41">
        <v>3161</v>
      </c>
      <c r="K41">
        <v>1.78</v>
      </c>
      <c r="L41">
        <f t="shared" si="46"/>
        <v>5626.58</v>
      </c>
      <c r="M41">
        <v>157.69999999999999</v>
      </c>
      <c r="N41">
        <v>33.200000000000003</v>
      </c>
      <c r="O41">
        <v>17.53</v>
      </c>
      <c r="P41">
        <v>3.69</v>
      </c>
      <c r="Q41" s="75"/>
      <c r="R41" s="27">
        <f t="shared" si="24"/>
        <v>887311.66599999997</v>
      </c>
      <c r="S41" s="27">
        <f t="shared" si="25"/>
        <v>186802.45600000001</v>
      </c>
      <c r="T41" s="27">
        <f t="shared" si="26"/>
        <v>98633.947400000005</v>
      </c>
      <c r="U41" s="27">
        <f t="shared" si="27"/>
        <v>20762.0802</v>
      </c>
      <c r="V41" s="75"/>
      <c r="W41" s="27">
        <f t="shared" si="28"/>
        <v>1863.3544985999997</v>
      </c>
      <c r="X41" s="27">
        <f t="shared" si="29"/>
        <v>392.28515759999999</v>
      </c>
      <c r="Y41" s="27">
        <f t="shared" si="30"/>
        <v>207.13128953999998</v>
      </c>
      <c r="Z41" s="27">
        <f t="shared" si="31"/>
        <v>43.600368419999995</v>
      </c>
      <c r="AA41" s="75"/>
      <c r="AB41" s="27">
        <f t="shared" si="32"/>
        <v>885448.31150139996</v>
      </c>
      <c r="AC41" s="27">
        <f t="shared" si="33"/>
        <v>186410.1708424</v>
      </c>
      <c r="AD41" s="27">
        <f t="shared" si="34"/>
        <v>98426.81611046</v>
      </c>
      <c r="AE41" s="27">
        <f t="shared" si="35"/>
        <v>20718.47983158</v>
      </c>
      <c r="AF41">
        <v>8</v>
      </c>
      <c r="AG41" s="34">
        <f t="shared" si="36"/>
        <v>9.1324200913242006E-4</v>
      </c>
      <c r="AH41" s="34">
        <f t="shared" si="47"/>
        <v>0.99908675799086755</v>
      </c>
      <c r="AI41" s="27">
        <f t="shared" si="48"/>
        <v>404.31429748922369</v>
      </c>
      <c r="AJ41" s="27">
        <f t="shared" si="49"/>
        <v>85.118799471415514</v>
      </c>
      <c r="AK41" s="27">
        <f t="shared" si="50"/>
        <v>44.943751648611872</v>
      </c>
      <c r="AL41" s="27">
        <f t="shared" si="51"/>
        <v>9.460493073780821</v>
      </c>
      <c r="AM41" s="75"/>
      <c r="AN41" s="27">
        <f t="shared" si="42"/>
        <v>885043.99720391072</v>
      </c>
      <c r="AO41" s="27">
        <f t="shared" si="52"/>
        <v>186325.05204292858</v>
      </c>
      <c r="AP41" s="27">
        <f t="shared" si="53"/>
        <v>98381.872358811379</v>
      </c>
      <c r="AQ41" s="27">
        <f t="shared" si="54"/>
        <v>20709.019338506219</v>
      </c>
      <c r="AR41" s="75"/>
    </row>
    <row r="42" spans="1:44" x14ac:dyDescent="0.2">
      <c r="A42" s="3" t="s">
        <v>64</v>
      </c>
      <c r="B42">
        <v>1755</v>
      </c>
      <c r="C42">
        <v>4018</v>
      </c>
      <c r="D42">
        <v>1.21</v>
      </c>
      <c r="E42">
        <v>1</v>
      </c>
      <c r="F42" s="2">
        <f t="shared" si="55"/>
        <v>1755</v>
      </c>
      <c r="G42" t="s">
        <v>11</v>
      </c>
      <c r="H42" s="20"/>
      <c r="I42" s="20"/>
      <c r="J42">
        <v>1755</v>
      </c>
      <c r="K42">
        <v>1</v>
      </c>
      <c r="L42">
        <f t="shared" si="46"/>
        <v>1755</v>
      </c>
      <c r="M42">
        <v>157.69999999999999</v>
      </c>
      <c r="N42">
        <v>33.200000000000003</v>
      </c>
      <c r="O42">
        <v>17.53</v>
      </c>
      <c r="P42">
        <v>3.69</v>
      </c>
      <c r="Q42" s="75"/>
      <c r="R42" s="27">
        <f t="shared" si="24"/>
        <v>276763.5</v>
      </c>
      <c r="S42" s="27">
        <f t="shared" si="25"/>
        <v>58266.000000000007</v>
      </c>
      <c r="T42" s="27">
        <f t="shared" si="26"/>
        <v>30765.15</v>
      </c>
      <c r="U42" s="27">
        <f t="shared" si="27"/>
        <v>6475.95</v>
      </c>
      <c r="V42" s="75"/>
      <c r="W42" s="27">
        <f t="shared" si="28"/>
        <v>581.20335</v>
      </c>
      <c r="X42" s="27">
        <f t="shared" si="29"/>
        <v>122.35860000000001</v>
      </c>
      <c r="Y42" s="27">
        <f t="shared" si="30"/>
        <v>64.606814999999997</v>
      </c>
      <c r="Z42" s="27">
        <f t="shared" si="31"/>
        <v>13.599494999999999</v>
      </c>
      <c r="AA42" s="75"/>
      <c r="AB42" s="27">
        <f t="shared" si="32"/>
        <v>276182.29664999997</v>
      </c>
      <c r="AC42" s="27">
        <f t="shared" si="33"/>
        <v>58143.641400000008</v>
      </c>
      <c r="AD42" s="27">
        <f t="shared" si="34"/>
        <v>30700.543185000002</v>
      </c>
      <c r="AE42" s="27">
        <f t="shared" si="35"/>
        <v>6462.3505049999994</v>
      </c>
      <c r="AF42">
        <v>158</v>
      </c>
      <c r="AG42" s="34">
        <f t="shared" si="36"/>
        <v>1.8036529680365298E-2</v>
      </c>
      <c r="AH42" s="34">
        <f t="shared" si="47"/>
        <v>0.98196347031963471</v>
      </c>
      <c r="AI42" s="27">
        <f t="shared" si="48"/>
        <v>2490.685095359589</v>
      </c>
      <c r="AJ42" s="27">
        <f t="shared" si="49"/>
        <v>524.35475691780834</v>
      </c>
      <c r="AK42" s="27">
        <f t="shared" si="50"/>
        <v>276.86562917979455</v>
      </c>
      <c r="AL42" s="27">
        <f t="shared" si="51"/>
        <v>58.279188344178081</v>
      </c>
      <c r="AM42" s="75"/>
      <c r="AN42" s="27">
        <f t="shared" si="42"/>
        <v>273691.61155464035</v>
      </c>
      <c r="AO42" s="27">
        <f t="shared" si="52"/>
        <v>57619.286643082203</v>
      </c>
      <c r="AP42" s="27">
        <f t="shared" si="53"/>
        <v>30423.67755582021</v>
      </c>
      <c r="AQ42" s="27">
        <f t="shared" si="54"/>
        <v>6404.0713166558207</v>
      </c>
      <c r="AR42" s="75"/>
    </row>
    <row r="43" spans="1:44" x14ac:dyDescent="0.2">
      <c r="A43" s="3" t="s">
        <v>65</v>
      </c>
      <c r="B43">
        <v>1894</v>
      </c>
      <c r="C43">
        <v>4029</v>
      </c>
      <c r="D43">
        <v>2.13</v>
      </c>
      <c r="E43">
        <v>1.1599999999999999</v>
      </c>
      <c r="F43" s="2">
        <f t="shared" si="55"/>
        <v>2197.04</v>
      </c>
      <c r="G43" t="s">
        <v>11</v>
      </c>
      <c r="H43" s="20"/>
      <c r="I43" s="20"/>
      <c r="J43">
        <v>2197</v>
      </c>
      <c r="K43">
        <v>1.1599999999999999</v>
      </c>
      <c r="L43">
        <f t="shared" si="46"/>
        <v>2548.52</v>
      </c>
      <c r="M43">
        <v>157.69999999999999</v>
      </c>
      <c r="N43">
        <v>33.200000000000003</v>
      </c>
      <c r="O43">
        <v>17.53</v>
      </c>
      <c r="P43">
        <v>3.69</v>
      </c>
      <c r="Q43" s="75"/>
      <c r="R43" s="27">
        <f t="shared" si="24"/>
        <v>401901.60399999999</v>
      </c>
      <c r="S43" s="27">
        <f t="shared" si="25"/>
        <v>84610.864000000001</v>
      </c>
      <c r="T43" s="27">
        <f t="shared" si="26"/>
        <v>44675.5556</v>
      </c>
      <c r="U43" s="27">
        <f t="shared" si="27"/>
        <v>9404.0388000000003</v>
      </c>
      <c r="V43" s="75"/>
      <c r="W43" s="27">
        <f t="shared" si="28"/>
        <v>843.99336839999989</v>
      </c>
      <c r="X43" s="27">
        <f t="shared" si="29"/>
        <v>177.68281439999998</v>
      </c>
      <c r="Y43" s="27">
        <f t="shared" si="30"/>
        <v>93.818666759999999</v>
      </c>
      <c r="Z43" s="27">
        <f t="shared" si="31"/>
        <v>19.748481479999999</v>
      </c>
      <c r="AA43" s="75"/>
      <c r="AB43" s="27">
        <f t="shared" si="32"/>
        <v>401057.61063159996</v>
      </c>
      <c r="AC43" s="27">
        <f t="shared" si="33"/>
        <v>84433.181185599999</v>
      </c>
      <c r="AD43" s="27">
        <f t="shared" si="34"/>
        <v>44581.736933239998</v>
      </c>
      <c r="AE43" s="27">
        <f t="shared" si="35"/>
        <v>9384.2903185200012</v>
      </c>
      <c r="AF43">
        <v>584</v>
      </c>
      <c r="AG43" s="34">
        <f t="shared" si="36"/>
        <v>6.6666666666666666E-2</v>
      </c>
      <c r="AH43" s="34">
        <f t="shared" si="47"/>
        <v>0.93333333333333335</v>
      </c>
      <c r="AI43" s="27">
        <f t="shared" si="48"/>
        <v>13368.587021053332</v>
      </c>
      <c r="AJ43" s="27">
        <f t="shared" si="49"/>
        <v>2814.4393728533332</v>
      </c>
      <c r="AK43" s="27">
        <f t="shared" si="50"/>
        <v>1486.0578977746666</v>
      </c>
      <c r="AL43" s="27">
        <f t="shared" si="51"/>
        <v>312.80967728400003</v>
      </c>
      <c r="AM43" s="75"/>
      <c r="AN43" s="27">
        <f t="shared" si="42"/>
        <v>387689.0236105466</v>
      </c>
      <c r="AO43" s="27">
        <f t="shared" si="52"/>
        <v>81618.741812746666</v>
      </c>
      <c r="AP43" s="27">
        <f t="shared" si="53"/>
        <v>43095.679035465335</v>
      </c>
      <c r="AQ43" s="27">
        <f t="shared" si="54"/>
        <v>9071.4806412360012</v>
      </c>
      <c r="AR43" s="75"/>
    </row>
    <row r="44" spans="1:44" x14ac:dyDescent="0.2">
      <c r="A44" s="3" t="s">
        <v>66</v>
      </c>
      <c r="B44">
        <v>1656</v>
      </c>
      <c r="C44">
        <v>957</v>
      </c>
      <c r="D44">
        <v>2.15</v>
      </c>
      <c r="E44">
        <v>1</v>
      </c>
      <c r="F44" s="2">
        <f t="shared" si="55"/>
        <v>1656</v>
      </c>
      <c r="G44" t="s">
        <v>11</v>
      </c>
      <c r="H44" s="20"/>
      <c r="I44" s="20"/>
      <c r="J44">
        <v>1656</v>
      </c>
      <c r="K44">
        <v>1</v>
      </c>
      <c r="L44">
        <f t="shared" si="46"/>
        <v>1656</v>
      </c>
      <c r="M44">
        <v>157.69999999999999</v>
      </c>
      <c r="N44">
        <v>33.200000000000003</v>
      </c>
      <c r="O44">
        <v>17.53</v>
      </c>
      <c r="P44">
        <v>3.69</v>
      </c>
      <c r="Q44" s="75"/>
      <c r="R44" s="27">
        <f t="shared" si="24"/>
        <v>261151.19999999998</v>
      </c>
      <c r="S44" s="27">
        <f t="shared" si="25"/>
        <v>54979.200000000004</v>
      </c>
      <c r="T44" s="27">
        <f t="shared" si="26"/>
        <v>29029.68</v>
      </c>
      <c r="U44" s="27">
        <f t="shared" si="27"/>
        <v>6110.64</v>
      </c>
      <c r="V44" s="75"/>
      <c r="W44" s="27">
        <f t="shared" si="28"/>
        <v>548.41751999999997</v>
      </c>
      <c r="X44" s="27">
        <f t="shared" si="29"/>
        <v>115.45632000000001</v>
      </c>
      <c r="Y44" s="27">
        <f t="shared" si="30"/>
        <v>60.962327999999999</v>
      </c>
      <c r="Z44" s="27">
        <f t="shared" si="31"/>
        <v>12.832343999999999</v>
      </c>
      <c r="AA44" s="75"/>
      <c r="AB44" s="27">
        <f t="shared" si="32"/>
        <v>260602.78247999999</v>
      </c>
      <c r="AC44" s="27">
        <f t="shared" si="33"/>
        <v>54863.743680000007</v>
      </c>
      <c r="AD44" s="27">
        <f t="shared" si="34"/>
        <v>28968.717671999999</v>
      </c>
      <c r="AE44" s="27">
        <f t="shared" si="35"/>
        <v>6097.807656</v>
      </c>
      <c r="AF44">
        <v>0</v>
      </c>
      <c r="AG44" s="34">
        <f t="shared" si="36"/>
        <v>0</v>
      </c>
      <c r="AH44" s="34">
        <f t="shared" si="47"/>
        <v>1</v>
      </c>
      <c r="AI44" s="27">
        <f t="shared" si="48"/>
        <v>0</v>
      </c>
      <c r="AJ44" s="27">
        <f t="shared" si="49"/>
        <v>0</v>
      </c>
      <c r="AK44" s="27">
        <f t="shared" si="50"/>
        <v>0</v>
      </c>
      <c r="AL44" s="27">
        <f t="shared" si="51"/>
        <v>0</v>
      </c>
      <c r="AM44" s="75"/>
      <c r="AN44" s="27">
        <f t="shared" si="42"/>
        <v>260602.78247999999</v>
      </c>
      <c r="AO44" s="27">
        <f t="shared" si="52"/>
        <v>54863.743680000007</v>
      </c>
      <c r="AP44" s="27">
        <f t="shared" si="53"/>
        <v>28968.717671999999</v>
      </c>
      <c r="AQ44" s="27">
        <f t="shared" si="54"/>
        <v>6097.807656</v>
      </c>
      <c r="AR44" s="75"/>
    </row>
    <row r="45" spans="1:44" x14ac:dyDescent="0.2">
      <c r="A45" s="3" t="s">
        <v>67</v>
      </c>
      <c r="B45">
        <v>1299</v>
      </c>
      <c r="C45">
        <v>6774</v>
      </c>
      <c r="D45">
        <v>0.09</v>
      </c>
      <c r="E45">
        <v>0.13</v>
      </c>
      <c r="F45" s="2">
        <f t="shared" si="55"/>
        <v>168.87</v>
      </c>
      <c r="G45" t="s">
        <v>11</v>
      </c>
      <c r="H45" s="20"/>
      <c r="I45" s="20"/>
      <c r="J45">
        <v>169</v>
      </c>
      <c r="K45">
        <v>0.13</v>
      </c>
      <c r="L45">
        <f t="shared" si="46"/>
        <v>21.970000000000002</v>
      </c>
      <c r="M45">
        <v>157.69999999999999</v>
      </c>
      <c r="N45">
        <v>33.200000000000003</v>
      </c>
      <c r="O45">
        <v>17.53</v>
      </c>
      <c r="P45">
        <v>3.69</v>
      </c>
      <c r="Q45" s="75"/>
      <c r="R45" s="27">
        <f t="shared" si="24"/>
        <v>3464.6690000000003</v>
      </c>
      <c r="S45" s="27">
        <f t="shared" si="25"/>
        <v>729.40400000000011</v>
      </c>
      <c r="T45" s="27">
        <f t="shared" si="26"/>
        <v>385.13410000000005</v>
      </c>
      <c r="U45" s="27">
        <f t="shared" si="27"/>
        <v>81.069300000000013</v>
      </c>
      <c r="V45" s="75"/>
      <c r="W45" s="27">
        <f t="shared" si="28"/>
        <v>7.2758048999999998</v>
      </c>
      <c r="X45" s="27">
        <f t="shared" si="29"/>
        <v>1.5317484000000001</v>
      </c>
      <c r="Y45" s="27">
        <f t="shared" si="30"/>
        <v>0.80878161000000004</v>
      </c>
      <c r="Z45" s="27">
        <f t="shared" si="31"/>
        <v>0.17024553000000001</v>
      </c>
      <c r="AA45" s="75"/>
      <c r="AB45" s="27">
        <f t="shared" si="32"/>
        <v>3457.3931951000004</v>
      </c>
      <c r="AC45" s="27">
        <f t="shared" si="33"/>
        <v>727.87225160000014</v>
      </c>
      <c r="AD45" s="27">
        <f t="shared" si="34"/>
        <v>384.32531839000006</v>
      </c>
      <c r="AE45" s="27">
        <f t="shared" si="35"/>
        <v>80.89905447000001</v>
      </c>
      <c r="AF45">
        <v>320</v>
      </c>
      <c r="AG45" s="34">
        <f t="shared" si="36"/>
        <v>3.6529680365296802E-2</v>
      </c>
      <c r="AH45" s="34">
        <f t="shared" si="47"/>
        <v>0.9634703196347032</v>
      </c>
      <c r="AI45" s="27">
        <f t="shared" si="48"/>
        <v>63.148734157077627</v>
      </c>
      <c r="AJ45" s="27">
        <f t="shared" si="49"/>
        <v>13.29447034885845</v>
      </c>
      <c r="AK45" s="27">
        <f t="shared" si="50"/>
        <v>7.0196405185388135</v>
      </c>
      <c r="AL45" s="27">
        <f t="shared" si="51"/>
        <v>1.4776083008219179</v>
      </c>
      <c r="AM45" s="75"/>
      <c r="AN45" s="27">
        <f t="shared" si="42"/>
        <v>3394.2444609429231</v>
      </c>
      <c r="AO45" s="27">
        <f t="shared" si="52"/>
        <v>714.57778125114169</v>
      </c>
      <c r="AP45" s="27">
        <f t="shared" si="53"/>
        <v>377.30567787146128</v>
      </c>
      <c r="AQ45" s="27">
        <f t="shared" si="54"/>
        <v>79.421446169178083</v>
      </c>
      <c r="AR45" s="75"/>
    </row>
    <row r="46" spans="1:44" x14ac:dyDescent="0.2">
      <c r="A46" s="3" t="s">
        <v>68</v>
      </c>
      <c r="B46">
        <v>1300</v>
      </c>
      <c r="C46">
        <v>6063</v>
      </c>
      <c r="D46">
        <v>0.17</v>
      </c>
      <c r="E46">
        <v>0.18</v>
      </c>
      <c r="F46" s="2">
        <f t="shared" si="55"/>
        <v>234</v>
      </c>
      <c r="G46" t="s">
        <v>11</v>
      </c>
      <c r="H46" s="20"/>
      <c r="I46" s="20"/>
      <c r="J46">
        <v>234</v>
      </c>
      <c r="K46">
        <v>0.18</v>
      </c>
      <c r="L46">
        <f t="shared" si="46"/>
        <v>42.12</v>
      </c>
      <c r="M46">
        <v>157.69999999999999</v>
      </c>
      <c r="N46">
        <v>33.200000000000003</v>
      </c>
      <c r="O46">
        <v>17.53</v>
      </c>
      <c r="P46">
        <v>3.69</v>
      </c>
      <c r="Q46" s="75"/>
      <c r="R46" s="27">
        <f t="shared" si="24"/>
        <v>6642.3239999999987</v>
      </c>
      <c r="S46" s="27">
        <f t="shared" si="25"/>
        <v>1398.384</v>
      </c>
      <c r="T46" s="27">
        <f t="shared" si="26"/>
        <v>738.36360000000002</v>
      </c>
      <c r="U46" s="27">
        <f t="shared" si="27"/>
        <v>155.4228</v>
      </c>
      <c r="V46" s="75"/>
      <c r="W46" s="27">
        <f t="shared" si="28"/>
        <v>13.948880399999997</v>
      </c>
      <c r="X46" s="27">
        <f t="shared" si="29"/>
        <v>2.9366064000000001</v>
      </c>
      <c r="Y46" s="27">
        <f t="shared" si="30"/>
        <v>1.5505635599999998</v>
      </c>
      <c r="Z46" s="27">
        <f t="shared" si="31"/>
        <v>0.32638787999999996</v>
      </c>
      <c r="AA46" s="75"/>
      <c r="AB46" s="27">
        <f t="shared" si="32"/>
        <v>6628.3751195999985</v>
      </c>
      <c r="AC46" s="27">
        <f t="shared" si="33"/>
        <v>1395.4473935999999</v>
      </c>
      <c r="AD46" s="27">
        <f t="shared" si="34"/>
        <v>736.81303644000002</v>
      </c>
      <c r="AE46" s="27">
        <f t="shared" si="35"/>
        <v>155.09641212</v>
      </c>
      <c r="AF46">
        <v>2</v>
      </c>
      <c r="AG46" s="34">
        <f t="shared" si="36"/>
        <v>2.2831050228310502E-4</v>
      </c>
      <c r="AH46" s="34">
        <f t="shared" si="47"/>
        <v>0.99977168949771689</v>
      </c>
      <c r="AI46" s="27">
        <f t="shared" si="48"/>
        <v>0.75666382643835595</v>
      </c>
      <c r="AJ46" s="27">
        <f t="shared" si="49"/>
        <v>0.15929764767123286</v>
      </c>
      <c r="AK46" s="27">
        <f t="shared" si="50"/>
        <v>8.4111077219178085E-2</v>
      </c>
      <c r="AL46" s="27">
        <f t="shared" si="51"/>
        <v>1.7705069876712328E-2</v>
      </c>
      <c r="AM46" s="75"/>
      <c r="AN46" s="27">
        <f t="shared" si="42"/>
        <v>6627.6184557735596</v>
      </c>
      <c r="AO46" s="27">
        <f t="shared" si="52"/>
        <v>1395.2880959523288</v>
      </c>
      <c r="AP46" s="27">
        <f t="shared" si="53"/>
        <v>736.72892536278084</v>
      </c>
      <c r="AQ46" s="27">
        <f t="shared" si="54"/>
        <v>155.07870705012328</v>
      </c>
      <c r="AR46" s="75"/>
    </row>
    <row r="47" spans="1:44" x14ac:dyDescent="0.2">
      <c r="A47" s="3" t="s">
        <v>69</v>
      </c>
      <c r="B47">
        <v>1811</v>
      </c>
      <c r="C47">
        <v>1137</v>
      </c>
      <c r="D47">
        <v>0.16</v>
      </c>
      <c r="E47">
        <v>0.4</v>
      </c>
      <c r="F47" s="2">
        <f t="shared" si="55"/>
        <v>724.40000000000009</v>
      </c>
      <c r="G47" t="s">
        <v>11</v>
      </c>
      <c r="H47" s="20"/>
      <c r="I47" s="20"/>
      <c r="J47">
        <v>724</v>
      </c>
      <c r="K47">
        <v>0.4</v>
      </c>
      <c r="L47">
        <f t="shared" si="46"/>
        <v>289.60000000000002</v>
      </c>
      <c r="M47">
        <v>157.69999999999999</v>
      </c>
      <c r="N47">
        <v>33.200000000000003</v>
      </c>
      <c r="O47">
        <v>17.53</v>
      </c>
      <c r="P47">
        <v>3.69</v>
      </c>
      <c r="Q47" s="75"/>
      <c r="R47" s="27">
        <f t="shared" si="24"/>
        <v>45669.919999999998</v>
      </c>
      <c r="S47" s="27">
        <f t="shared" si="25"/>
        <v>9614.7200000000012</v>
      </c>
      <c r="T47" s="27">
        <f t="shared" si="26"/>
        <v>5076.688000000001</v>
      </c>
      <c r="U47" s="27">
        <f t="shared" si="27"/>
        <v>1068.624</v>
      </c>
      <c r="V47" s="75"/>
      <c r="W47" s="27">
        <f t="shared" si="28"/>
        <v>95.906831999999994</v>
      </c>
      <c r="X47" s="27">
        <f t="shared" si="29"/>
        <v>20.190912000000001</v>
      </c>
      <c r="Y47" s="27">
        <f t="shared" si="30"/>
        <v>10.661044800000001</v>
      </c>
      <c r="Z47" s="27">
        <f t="shared" si="31"/>
        <v>2.2441103999999998</v>
      </c>
      <c r="AA47" s="75"/>
      <c r="AB47" s="27">
        <f t="shared" si="32"/>
        <v>45574.013167999998</v>
      </c>
      <c r="AC47" s="27">
        <f t="shared" si="33"/>
        <v>9594.5290880000011</v>
      </c>
      <c r="AD47" s="27">
        <f t="shared" si="34"/>
        <v>5066.0269552000009</v>
      </c>
      <c r="AE47" s="27">
        <f t="shared" si="35"/>
        <v>1066.3798896000001</v>
      </c>
      <c r="AF47">
        <v>0</v>
      </c>
      <c r="AG47" s="34">
        <f t="shared" si="36"/>
        <v>0</v>
      </c>
      <c r="AH47" s="34">
        <f t="shared" si="47"/>
        <v>1</v>
      </c>
      <c r="AI47" s="27">
        <f t="shared" si="48"/>
        <v>0</v>
      </c>
      <c r="AJ47" s="27">
        <f t="shared" si="49"/>
        <v>0</v>
      </c>
      <c r="AK47" s="27">
        <f t="shared" si="50"/>
        <v>0</v>
      </c>
      <c r="AL47" s="27">
        <f t="shared" si="51"/>
        <v>0</v>
      </c>
      <c r="AM47" s="75"/>
      <c r="AN47" s="27">
        <f t="shared" si="42"/>
        <v>45574.013167999998</v>
      </c>
      <c r="AO47" s="27">
        <f t="shared" si="52"/>
        <v>9594.5290880000011</v>
      </c>
      <c r="AP47" s="27">
        <f t="shared" si="53"/>
        <v>5066.0269552000009</v>
      </c>
      <c r="AQ47" s="27">
        <f t="shared" si="54"/>
        <v>1066.3798896000001</v>
      </c>
      <c r="AR47" s="75"/>
    </row>
    <row r="48" spans="1:44" x14ac:dyDescent="0.2">
      <c r="A48" s="3" t="s">
        <v>70</v>
      </c>
      <c r="B48">
        <v>1685</v>
      </c>
      <c r="C48">
        <v>1450</v>
      </c>
      <c r="D48">
        <v>0.06</v>
      </c>
      <c r="E48">
        <v>0.1</v>
      </c>
      <c r="F48" s="2">
        <f t="shared" si="55"/>
        <v>168.5</v>
      </c>
      <c r="G48" t="s">
        <v>11</v>
      </c>
      <c r="H48" s="20"/>
      <c r="I48" s="20"/>
      <c r="J48">
        <v>169</v>
      </c>
      <c r="K48">
        <v>0.1</v>
      </c>
      <c r="L48">
        <f t="shared" si="46"/>
        <v>16.900000000000002</v>
      </c>
      <c r="M48">
        <v>157.69999999999999</v>
      </c>
      <c r="N48">
        <v>33.200000000000003</v>
      </c>
      <c r="O48">
        <v>17.53</v>
      </c>
      <c r="P48">
        <v>3.69</v>
      </c>
      <c r="Q48" s="75"/>
      <c r="R48" s="27">
        <f t="shared" si="24"/>
        <v>2665.13</v>
      </c>
      <c r="S48" s="27">
        <f t="shared" si="25"/>
        <v>561.08000000000015</v>
      </c>
      <c r="T48" s="27">
        <f t="shared" si="26"/>
        <v>296.25700000000006</v>
      </c>
      <c r="U48" s="27">
        <f t="shared" si="27"/>
        <v>62.361000000000004</v>
      </c>
      <c r="V48" s="75"/>
      <c r="W48" s="27">
        <f t="shared" si="28"/>
        <v>5.5967729999999998</v>
      </c>
      <c r="X48" s="27">
        <f t="shared" si="29"/>
        <v>1.1782680000000003</v>
      </c>
      <c r="Y48" s="27">
        <f t="shared" si="30"/>
        <v>0.62213970000000007</v>
      </c>
      <c r="Z48" s="27">
        <f t="shared" si="31"/>
        <v>0.13095809999999999</v>
      </c>
      <c r="AA48" s="75"/>
      <c r="AB48" s="27">
        <f t="shared" si="32"/>
        <v>2659.5332269999999</v>
      </c>
      <c r="AC48" s="27">
        <f t="shared" si="33"/>
        <v>559.90173200000015</v>
      </c>
      <c r="AD48" s="27">
        <f t="shared" si="34"/>
        <v>295.63486030000007</v>
      </c>
      <c r="AE48" s="27">
        <f t="shared" si="35"/>
        <v>62.230041900000003</v>
      </c>
      <c r="AF48">
        <v>0</v>
      </c>
      <c r="AG48" s="34">
        <f t="shared" si="36"/>
        <v>0</v>
      </c>
      <c r="AH48" s="34">
        <f t="shared" si="47"/>
        <v>1</v>
      </c>
      <c r="AI48" s="27">
        <f t="shared" si="48"/>
        <v>0</v>
      </c>
      <c r="AJ48" s="27">
        <f t="shared" si="49"/>
        <v>0</v>
      </c>
      <c r="AK48" s="27">
        <f t="shared" si="50"/>
        <v>0</v>
      </c>
      <c r="AL48" s="27">
        <f t="shared" si="51"/>
        <v>0</v>
      </c>
      <c r="AM48" s="75"/>
      <c r="AN48" s="27">
        <f t="shared" si="42"/>
        <v>2659.5332269999999</v>
      </c>
      <c r="AO48" s="27">
        <f t="shared" si="52"/>
        <v>559.90173200000015</v>
      </c>
      <c r="AP48" s="27">
        <f t="shared" si="53"/>
        <v>295.63486030000007</v>
      </c>
      <c r="AQ48" s="27">
        <f t="shared" si="54"/>
        <v>62.230041900000003</v>
      </c>
      <c r="AR48" s="75"/>
    </row>
    <row r="49" spans="1:44" x14ac:dyDescent="0.2">
      <c r="A49" s="3" t="s">
        <v>71</v>
      </c>
      <c r="B49">
        <v>1693</v>
      </c>
      <c r="C49">
        <v>1035</v>
      </c>
      <c r="D49">
        <v>1.42</v>
      </c>
      <c r="E49">
        <v>1.1499999999999999</v>
      </c>
      <c r="F49" s="2">
        <f t="shared" si="55"/>
        <v>1946.9499999999998</v>
      </c>
      <c r="G49" t="s">
        <v>11</v>
      </c>
      <c r="H49" s="20"/>
      <c r="I49" s="20"/>
      <c r="J49">
        <v>1947</v>
      </c>
      <c r="K49">
        <v>1.1499999999999999</v>
      </c>
      <c r="L49">
        <f t="shared" si="46"/>
        <v>2239.0499999999997</v>
      </c>
      <c r="M49">
        <v>157.69999999999999</v>
      </c>
      <c r="N49">
        <v>33.200000000000003</v>
      </c>
      <c r="O49">
        <v>17.53</v>
      </c>
      <c r="P49">
        <v>3.69</v>
      </c>
      <c r="Q49" s="75"/>
      <c r="R49" s="27">
        <f t="shared" si="24"/>
        <v>353098.18499999994</v>
      </c>
      <c r="S49" s="27">
        <f t="shared" si="25"/>
        <v>74336.459999999992</v>
      </c>
      <c r="T49" s="27">
        <f t="shared" si="26"/>
        <v>39250.546499999997</v>
      </c>
      <c r="U49" s="27">
        <f t="shared" si="27"/>
        <v>8262.0944999999992</v>
      </c>
      <c r="V49" s="75"/>
      <c r="W49" s="27">
        <f t="shared" si="28"/>
        <v>741.50618849999978</v>
      </c>
      <c r="X49" s="27">
        <f t="shared" si="29"/>
        <v>156.10656599999999</v>
      </c>
      <c r="Y49" s="27">
        <f t="shared" si="30"/>
        <v>82.42614764999999</v>
      </c>
      <c r="Z49" s="27">
        <f t="shared" si="31"/>
        <v>17.350398449999997</v>
      </c>
      <c r="AA49" s="75"/>
      <c r="AB49" s="27">
        <f t="shared" si="32"/>
        <v>352356.67881149997</v>
      </c>
      <c r="AC49" s="27">
        <f t="shared" si="33"/>
        <v>74180.35343399999</v>
      </c>
      <c r="AD49" s="27">
        <f t="shared" si="34"/>
        <v>39168.120352349993</v>
      </c>
      <c r="AE49" s="27">
        <f t="shared" si="35"/>
        <v>8244.744101549999</v>
      </c>
      <c r="AF49">
        <v>155</v>
      </c>
      <c r="AG49" s="34">
        <f t="shared" si="36"/>
        <v>1.7694063926940638E-2</v>
      </c>
      <c r="AH49" s="34">
        <f t="shared" si="47"/>
        <v>0.98230593607305938</v>
      </c>
      <c r="AI49" s="27">
        <f t="shared" si="48"/>
        <v>3117.3107999875851</v>
      </c>
      <c r="AJ49" s="27">
        <f t="shared" si="49"/>
        <v>656.27595789212319</v>
      </c>
      <c r="AK49" s="27">
        <f t="shared" si="50"/>
        <v>346.52161270629273</v>
      </c>
      <c r="AL49" s="27">
        <f t="shared" si="51"/>
        <v>72.941514597046222</v>
      </c>
      <c r="AM49" s="75"/>
      <c r="AN49" s="27">
        <f t="shared" si="42"/>
        <v>349239.36801151239</v>
      </c>
      <c r="AO49" s="27">
        <f t="shared" si="52"/>
        <v>73524.077476107865</v>
      </c>
      <c r="AP49" s="27">
        <f t="shared" si="53"/>
        <v>38821.598739643705</v>
      </c>
      <c r="AQ49" s="27">
        <f t="shared" si="54"/>
        <v>8171.8025869529529</v>
      </c>
      <c r="AR49" s="75"/>
    </row>
    <row r="50" spans="1:44" x14ac:dyDescent="0.2">
      <c r="A50" t="s">
        <v>72</v>
      </c>
      <c r="B50">
        <v>1595</v>
      </c>
      <c r="C50">
        <v>4718</v>
      </c>
      <c r="D50">
        <v>0.52</v>
      </c>
      <c r="E50">
        <v>0.6</v>
      </c>
      <c r="F50" s="2">
        <f t="shared" si="55"/>
        <v>957</v>
      </c>
      <c r="G50" t="s">
        <v>11</v>
      </c>
      <c r="H50" s="73"/>
      <c r="I50" s="73"/>
      <c r="J50" s="4">
        <v>957</v>
      </c>
      <c r="K50" s="5">
        <v>0.6</v>
      </c>
      <c r="L50">
        <f t="shared" si="46"/>
        <v>574.19999999999993</v>
      </c>
      <c r="M50">
        <v>157.69999999999999</v>
      </c>
      <c r="N50">
        <v>33.200000000000003</v>
      </c>
      <c r="O50">
        <v>17.53</v>
      </c>
      <c r="P50">
        <v>3.69</v>
      </c>
      <c r="Q50" s="76"/>
      <c r="R50" s="27">
        <f t="shared" si="24"/>
        <v>90551.339999999982</v>
      </c>
      <c r="S50" s="27">
        <f t="shared" si="25"/>
        <v>19063.439999999999</v>
      </c>
      <c r="T50" s="27">
        <f t="shared" si="26"/>
        <v>10065.725999999999</v>
      </c>
      <c r="U50" s="27">
        <f t="shared" si="27"/>
        <v>2118.7979999999998</v>
      </c>
      <c r="V50" s="75"/>
      <c r="W50" s="27">
        <f t="shared" si="28"/>
        <v>190.15781399999995</v>
      </c>
      <c r="X50" s="27">
        <f t="shared" si="29"/>
        <v>40.033223999999997</v>
      </c>
      <c r="Y50" s="27">
        <f t="shared" si="30"/>
        <v>21.138024599999998</v>
      </c>
      <c r="Z50" s="27">
        <f t="shared" si="31"/>
        <v>4.4494757999999992</v>
      </c>
      <c r="AA50" s="75"/>
      <c r="AB50" s="27">
        <f t="shared" si="32"/>
        <v>90361.182185999976</v>
      </c>
      <c r="AC50" s="27">
        <f t="shared" si="33"/>
        <v>19023.406776</v>
      </c>
      <c r="AD50" s="27">
        <f t="shared" si="34"/>
        <v>10044.587975399998</v>
      </c>
      <c r="AE50" s="27">
        <f t="shared" si="35"/>
        <v>2114.3485241999997</v>
      </c>
      <c r="AF50">
        <v>10</v>
      </c>
      <c r="AG50" s="34">
        <f t="shared" si="36"/>
        <v>1.1415525114155251E-3</v>
      </c>
      <c r="AH50" s="34">
        <f t="shared" si="47"/>
        <v>0.99885844748858443</v>
      </c>
      <c r="AI50" s="27">
        <f t="shared" si="48"/>
        <v>51.576017229452042</v>
      </c>
      <c r="AJ50" s="27">
        <f t="shared" si="49"/>
        <v>10.858108890410959</v>
      </c>
      <c r="AK50" s="27">
        <f t="shared" si="50"/>
        <v>5.7332123147260257</v>
      </c>
      <c r="AL50" s="27">
        <f t="shared" si="51"/>
        <v>1.2068199339041092</v>
      </c>
      <c r="AM50" s="75"/>
      <c r="AN50" s="27">
        <f t="shared" si="42"/>
        <v>90309.606168770522</v>
      </c>
      <c r="AO50" s="27">
        <f t="shared" si="52"/>
        <v>19012.548667109586</v>
      </c>
      <c r="AP50" s="27">
        <f t="shared" si="53"/>
        <v>10038.854763085272</v>
      </c>
      <c r="AQ50" s="27">
        <f t="shared" si="54"/>
        <v>2113.1417042660955</v>
      </c>
      <c r="AR50" s="75"/>
    </row>
    <row r="51" spans="1:44" ht="35.5" customHeight="1" x14ac:dyDescent="0.2">
      <c r="A51" s="70"/>
      <c r="B51" s="70"/>
      <c r="C51" s="70"/>
      <c r="D51" s="70"/>
      <c r="E51" s="70">
        <f>$E25+$E26+$E27+$E28+$E29+$E30+$E31+$E32+$E33+$E34+$E35+$E36+$E37+$E38+$E39+$E40+$E41+$E42+$E43+$E44+$E45+$E46+$E47+$E48+$E49+$E50</f>
        <v>13.903</v>
      </c>
      <c r="F51" s="70"/>
      <c r="G51" s="63"/>
      <c r="J51">
        <f xml:space="preserve"> SUM(J25:J50)</f>
        <v>25413</v>
      </c>
      <c r="K51">
        <f xml:space="preserve"> SUM(K25:K50)</f>
        <v>41.490000000000009</v>
      </c>
      <c r="L51">
        <f xml:space="preserve"> SUM(L25:L50)</f>
        <v>44730.020000000004</v>
      </c>
      <c r="R51" s="77">
        <f xml:space="preserve"> SUM(R25:R50)</f>
        <v>7053924.1540000001</v>
      </c>
      <c r="S51" s="77">
        <f xml:space="preserve"> SUM(S25:S50)</f>
        <v>1485036.6640000003</v>
      </c>
      <c r="T51" s="77">
        <f xml:space="preserve"> SUM(T25:T50)</f>
        <v>784117.25060000014</v>
      </c>
      <c r="U51" s="77">
        <f xml:space="preserve"> SUM(U25:U50)</f>
        <v>165053.77380000008</v>
      </c>
      <c r="W51" s="77">
        <f xml:space="preserve"> SUM(W25:W50)</f>
        <v>14813.240723399998</v>
      </c>
      <c r="X51" s="77">
        <f>SUM(X25:X50)</f>
        <v>3118.5769944000003</v>
      </c>
      <c r="Y51" s="77">
        <f>SUM(Y25:Y50)</f>
        <v>1646.64622626</v>
      </c>
      <c r="Z51" s="77">
        <f xml:space="preserve"> SUM(Z25:Z50)</f>
        <v>346.61292497999995</v>
      </c>
      <c r="AA51" s="75"/>
      <c r="AB51" s="77">
        <f xml:space="preserve"> SUM(AB25:AB50)</f>
        <v>7039110.9132765997</v>
      </c>
      <c r="AC51" s="77">
        <f xml:space="preserve"> SUM(AC25:AC50)</f>
        <v>1481918.0870056003</v>
      </c>
      <c r="AD51" s="77">
        <f xml:space="preserve"> SUM(AD25:AD50)</f>
        <v>782470.60437374003</v>
      </c>
      <c r="AE51" s="77">
        <f xml:space="preserve"> SUM(AE25:AE50)</f>
        <v>164707.16087502</v>
      </c>
      <c r="AF51" s="77">
        <f xml:space="preserve"> SUM(AF25:AF50)</f>
        <v>3537</v>
      </c>
      <c r="AG51" t="s">
        <v>93</v>
      </c>
      <c r="AI51" s="77">
        <f xml:space="preserve"> SUM(AI25:AI50)</f>
        <v>75532.152780478675</v>
      </c>
      <c r="AJ51" s="77">
        <f xml:space="preserve"> SUM(AJ25:AJ50)</f>
        <v>15901.505848521825</v>
      </c>
      <c r="AK51" s="77">
        <f xml:space="preserve"> SUM(AK25:AK50)</f>
        <v>8396.1866724273386</v>
      </c>
      <c r="AL51" s="77">
        <f xml:space="preserve"> SUM(AL25:AL50)</f>
        <v>1767.3661620796854</v>
      </c>
      <c r="AM51" s="75"/>
      <c r="AN51" s="77">
        <f xml:space="preserve"> SUM(AN25:AN50)</f>
        <v>6963578.76049612</v>
      </c>
      <c r="AO51" s="77">
        <f xml:space="preserve"> SUM(AO25:AO50)</f>
        <v>1466016.5811570785</v>
      </c>
      <c r="AP51" s="77">
        <f xml:space="preserve"> SUM(AP25:AP50)</f>
        <v>774074.41770131269</v>
      </c>
      <c r="AQ51" s="77">
        <f xml:space="preserve"> SUM(AQ25:AQ50)</f>
        <v>162939.79471294035</v>
      </c>
      <c r="AR51" s="75"/>
    </row>
    <row r="52" spans="1:44" ht="37.75" customHeight="1" x14ac:dyDescent="0.2">
      <c r="J52" s="67" t="s">
        <v>138</v>
      </c>
      <c r="K52" s="67"/>
      <c r="L52" s="67"/>
      <c r="M52" s="67"/>
      <c r="N52" s="67"/>
      <c r="O52" s="67"/>
      <c r="P52" s="67"/>
      <c r="Q52" s="67"/>
      <c r="R52" s="67"/>
      <c r="S52" s="67"/>
      <c r="T52" s="67"/>
      <c r="U52" s="67"/>
      <c r="W52" s="67" t="s">
        <v>152</v>
      </c>
      <c r="AA52" s="75"/>
      <c r="AF52" s="242"/>
    </row>
    <row r="61" spans="1:44" x14ac:dyDescent="0.2">
      <c r="AO61" t="s">
        <v>93</v>
      </c>
    </row>
  </sheetData>
  <pageMargins left="0.7" right="0.7" top="0.75" bottom="0.75" header="0.3" footer="0.3"/>
  <pageSetup paperSize="9" orientation="portrait" horizontalDpi="4294967293"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E24117-29D9-40CC-B8BC-656F85CE3028}">
  <dimension ref="A1:AU61"/>
  <sheetViews>
    <sheetView zoomScale="53" workbookViewId="0">
      <selection activeCell="M64" sqref="M64"/>
    </sheetView>
  </sheetViews>
  <sheetFormatPr baseColWidth="10" defaultColWidth="8.83203125" defaultRowHeight="16" x14ac:dyDescent="0.2"/>
  <cols>
    <col min="1" max="1" width="26.83203125" customWidth="1"/>
    <col min="2" max="2" width="16.1640625" customWidth="1"/>
    <col min="3" max="3" width="11.6640625" customWidth="1"/>
    <col min="4" max="4" width="13.33203125" customWidth="1"/>
    <col min="5" max="5" width="16.1640625" customWidth="1"/>
    <col min="6" max="6" width="24.83203125" customWidth="1"/>
    <col min="7" max="7" width="13.33203125" customWidth="1"/>
    <col min="10" max="10" width="40.83203125" customWidth="1"/>
    <col min="11" max="11" width="26.1640625" customWidth="1"/>
    <col min="12" max="12" width="36.6640625" customWidth="1"/>
    <col min="13" max="13" width="39.33203125" customWidth="1"/>
    <col min="14" max="14" width="44.83203125" customWidth="1"/>
    <col min="15" max="15" width="45" customWidth="1"/>
    <col min="16" max="16" width="4.83203125" customWidth="1"/>
    <col min="17" max="17" width="29.33203125" customWidth="1"/>
    <col min="18" max="18" width="30.6640625" customWidth="1"/>
    <col min="19" max="19" width="30.83203125" customWidth="1"/>
    <col min="20" max="20" width="29.83203125" customWidth="1"/>
    <col min="21" max="21" width="7.1640625" customWidth="1"/>
    <col min="22" max="22" width="41.1640625" customWidth="1"/>
    <col min="23" max="23" width="33.6640625" customWidth="1"/>
    <col min="24" max="24" width="37.6640625" customWidth="1"/>
    <col min="25" max="25" width="39.83203125" customWidth="1"/>
    <col min="26" max="26" width="7.1640625" customWidth="1"/>
    <col min="27" max="27" width="36.1640625" customWidth="1"/>
    <col min="28" max="28" width="34.5" customWidth="1"/>
    <col min="29" max="29" width="39.5" customWidth="1"/>
    <col min="30" max="30" width="41.5" customWidth="1"/>
    <col min="31" max="31" width="48.6640625" customWidth="1"/>
    <col min="32" max="32" width="41.6640625" customWidth="1"/>
    <col min="33" max="33" width="48.6640625" customWidth="1"/>
    <col min="34" max="34" width="28.6640625" customWidth="1"/>
    <col min="35" max="35" width="28" customWidth="1"/>
    <col min="36" max="36" width="33" customWidth="1"/>
    <col min="37" max="37" width="34.83203125" customWidth="1"/>
    <col min="39" max="39" width="24.1640625" customWidth="1"/>
    <col min="40" max="40" width="21.6640625" customWidth="1"/>
    <col min="41" max="41" width="24.33203125" customWidth="1"/>
    <col min="42" max="42" width="25" customWidth="1"/>
    <col min="44" max="44" width="15.1640625" customWidth="1"/>
    <col min="45" max="45" width="16.33203125" customWidth="1"/>
    <col min="46" max="46" width="15.1640625" customWidth="1"/>
    <col min="47" max="47" width="13" customWidth="1"/>
  </cols>
  <sheetData>
    <row r="1" spans="1:47" ht="34" x14ac:dyDescent="0.4">
      <c r="A1" s="14" t="s">
        <v>46</v>
      </c>
      <c r="B1" s="11"/>
      <c r="C1" s="11"/>
      <c r="D1" s="11"/>
      <c r="E1" s="11"/>
      <c r="F1" s="11"/>
      <c r="G1" s="11" t="s">
        <v>22</v>
      </c>
      <c r="H1" s="31"/>
      <c r="I1" s="79"/>
      <c r="J1" s="12" t="s">
        <v>148</v>
      </c>
      <c r="K1" s="11"/>
      <c r="L1" s="11"/>
      <c r="M1" s="11" t="s">
        <v>292</v>
      </c>
      <c r="N1" s="11"/>
      <c r="O1" s="11"/>
      <c r="P1" s="75"/>
      <c r="Q1" s="25" t="s">
        <v>149</v>
      </c>
      <c r="R1" s="11" t="s">
        <v>156</v>
      </c>
      <c r="S1" s="11"/>
      <c r="T1" s="11"/>
      <c r="U1" s="75"/>
      <c r="V1" s="25" t="s">
        <v>234</v>
      </c>
      <c r="W1" s="11" t="s">
        <v>153</v>
      </c>
      <c r="X1" s="11"/>
      <c r="Y1" s="11"/>
      <c r="Z1" s="75"/>
      <c r="AA1" s="78" t="s">
        <v>155</v>
      </c>
      <c r="AB1" s="11"/>
      <c r="AC1" s="11"/>
      <c r="AD1" s="11"/>
      <c r="AE1" s="65" t="s">
        <v>123</v>
      </c>
      <c r="AF1" s="11"/>
      <c r="AG1" s="11"/>
      <c r="AH1" s="78" t="s">
        <v>157</v>
      </c>
      <c r="AI1" s="11"/>
      <c r="AJ1" s="11"/>
      <c r="AK1" s="11"/>
      <c r="AL1" s="75"/>
      <c r="AM1" s="78" t="s">
        <v>171</v>
      </c>
      <c r="AO1" s="126" t="s">
        <v>235</v>
      </c>
      <c r="AQ1" s="75"/>
      <c r="AR1" s="120" t="s">
        <v>305</v>
      </c>
      <c r="AS1" s="11"/>
      <c r="AT1" s="11"/>
      <c r="AU1" s="51"/>
    </row>
    <row r="2" spans="1:47" ht="19" x14ac:dyDescent="0.25">
      <c r="A2" s="26"/>
      <c r="H2" s="20"/>
      <c r="I2" s="20"/>
      <c r="J2" s="1" t="s">
        <v>147</v>
      </c>
      <c r="L2" t="s">
        <v>137</v>
      </c>
      <c r="M2" s="1" t="s">
        <v>135</v>
      </c>
      <c r="N2" t="s">
        <v>136</v>
      </c>
      <c r="O2" s="1" t="s">
        <v>135</v>
      </c>
      <c r="P2" s="74"/>
      <c r="Q2" s="1" t="s">
        <v>396</v>
      </c>
      <c r="R2" s="1" t="s">
        <v>397</v>
      </c>
      <c r="S2" s="1" t="s">
        <v>396</v>
      </c>
      <c r="T2" s="1" t="s">
        <v>397</v>
      </c>
      <c r="U2" s="75"/>
      <c r="V2" s="1" t="s">
        <v>396</v>
      </c>
      <c r="W2" s="1" t="s">
        <v>397</v>
      </c>
      <c r="X2" s="1" t="s">
        <v>396</v>
      </c>
      <c r="Y2" s="1" t="s">
        <v>397</v>
      </c>
      <c r="Z2" s="75"/>
      <c r="AA2" s="1" t="s">
        <v>396</v>
      </c>
      <c r="AB2" s="1" t="s">
        <v>397</v>
      </c>
      <c r="AC2" s="1" t="s">
        <v>396</v>
      </c>
      <c r="AD2" s="1" t="s">
        <v>397</v>
      </c>
      <c r="AE2" s="64" t="s">
        <v>86</v>
      </c>
      <c r="AF2" s="37"/>
      <c r="AG2" s="37"/>
      <c r="AH2" s="1" t="s">
        <v>396</v>
      </c>
      <c r="AI2" s="1" t="s">
        <v>397</v>
      </c>
      <c r="AJ2" s="1" t="s">
        <v>396</v>
      </c>
      <c r="AK2" s="1" t="s">
        <v>397</v>
      </c>
      <c r="AL2" s="75"/>
      <c r="AM2" s="1" t="s">
        <v>396</v>
      </c>
      <c r="AN2" s="1" t="s">
        <v>397</v>
      </c>
      <c r="AO2" s="1" t="s">
        <v>396</v>
      </c>
      <c r="AP2" s="1" t="s">
        <v>397</v>
      </c>
      <c r="AQ2" s="75"/>
      <c r="AR2" s="192" t="s">
        <v>301</v>
      </c>
      <c r="AS2" s="193"/>
      <c r="AT2" s="191" t="s">
        <v>304</v>
      </c>
      <c r="AU2" s="191"/>
    </row>
    <row r="3" spans="1:47" x14ac:dyDescent="0.2">
      <c r="A3" s="15" t="s">
        <v>0</v>
      </c>
      <c r="B3" s="15" t="s">
        <v>9</v>
      </c>
      <c r="C3" s="15" t="s">
        <v>2</v>
      </c>
      <c r="D3" s="15" t="s">
        <v>1</v>
      </c>
      <c r="E3" s="15" t="s">
        <v>3</v>
      </c>
      <c r="F3" s="15" t="s">
        <v>6</v>
      </c>
      <c r="G3" s="15" t="s">
        <v>5</v>
      </c>
      <c r="H3" s="22"/>
      <c r="I3" s="22"/>
      <c r="J3" s="9" t="s">
        <v>74</v>
      </c>
      <c r="K3" s="9" t="s">
        <v>1</v>
      </c>
      <c r="L3" s="9" t="s">
        <v>146</v>
      </c>
      <c r="M3" s="9" t="s">
        <v>145</v>
      </c>
      <c r="N3" s="68" t="s">
        <v>143</v>
      </c>
      <c r="O3" s="68" t="s">
        <v>144</v>
      </c>
      <c r="P3" s="74"/>
      <c r="Q3" s="9" t="s">
        <v>139</v>
      </c>
      <c r="R3" s="9" t="s">
        <v>140</v>
      </c>
      <c r="S3" s="68" t="s">
        <v>141</v>
      </c>
      <c r="T3" s="68" t="s">
        <v>142</v>
      </c>
      <c r="U3" s="75"/>
      <c r="V3" s="9" t="s">
        <v>139</v>
      </c>
      <c r="W3" s="9" t="s">
        <v>140</v>
      </c>
      <c r="X3" s="68" t="s">
        <v>141</v>
      </c>
      <c r="Y3" s="68" t="s">
        <v>142</v>
      </c>
      <c r="Z3" s="74"/>
      <c r="AA3" s="9" t="s">
        <v>154</v>
      </c>
      <c r="AB3" s="9" t="s">
        <v>140</v>
      </c>
      <c r="AC3" s="68" t="s">
        <v>141</v>
      </c>
      <c r="AD3" s="68" t="s">
        <v>142</v>
      </c>
      <c r="AE3" s="10" t="s">
        <v>85</v>
      </c>
      <c r="AF3" s="10" t="s">
        <v>89</v>
      </c>
      <c r="AG3" s="10" t="s">
        <v>90</v>
      </c>
      <c r="AH3" s="9" t="s">
        <v>161</v>
      </c>
      <c r="AI3" s="9" t="s">
        <v>160</v>
      </c>
      <c r="AJ3" s="68" t="s">
        <v>158</v>
      </c>
      <c r="AK3" s="68" t="s">
        <v>159</v>
      </c>
      <c r="AL3" s="75"/>
      <c r="AM3" s="9" t="s">
        <v>161</v>
      </c>
      <c r="AN3" s="9" t="s">
        <v>160</v>
      </c>
      <c r="AO3" s="68" t="s">
        <v>158</v>
      </c>
      <c r="AP3" s="68" t="s">
        <v>159</v>
      </c>
      <c r="AQ3" s="75"/>
      <c r="AR3" s="10" t="s">
        <v>302</v>
      </c>
      <c r="AS3" s="10" t="s">
        <v>303</v>
      </c>
      <c r="AT3" s="41" t="s">
        <v>302</v>
      </c>
      <c r="AU3" s="10" t="s">
        <v>303</v>
      </c>
    </row>
    <row r="4" spans="1:47" ht="19" x14ac:dyDescent="0.25">
      <c r="A4" s="24" t="s">
        <v>75</v>
      </c>
      <c r="B4" s="25"/>
      <c r="C4" s="25"/>
      <c r="D4" s="25"/>
      <c r="E4" s="25"/>
      <c r="F4" s="25"/>
      <c r="G4" s="25"/>
      <c r="H4" s="22"/>
      <c r="I4" s="22"/>
      <c r="J4" s="9"/>
      <c r="K4" s="9"/>
      <c r="L4" s="9"/>
      <c r="M4" s="9"/>
      <c r="N4" s="68"/>
      <c r="O4" s="68"/>
      <c r="P4" s="74"/>
      <c r="Q4" s="72"/>
      <c r="R4" s="72"/>
      <c r="S4" s="68"/>
      <c r="T4" s="68"/>
      <c r="U4" s="75"/>
      <c r="V4" s="72"/>
      <c r="W4" s="72"/>
      <c r="X4" s="68"/>
      <c r="Y4" s="68"/>
      <c r="Z4" s="74"/>
      <c r="AA4" s="72"/>
      <c r="AB4" s="72"/>
      <c r="AC4" s="68"/>
      <c r="AD4" s="68"/>
      <c r="AE4" s="10"/>
      <c r="AF4" s="10" t="s">
        <v>88</v>
      </c>
      <c r="AG4" s="10"/>
      <c r="AH4" s="233">
        <v>-0.5</v>
      </c>
      <c r="AI4" s="233">
        <v>-0.5</v>
      </c>
      <c r="AJ4" s="233">
        <v>-0.5</v>
      </c>
      <c r="AK4" s="233">
        <v>-0.5</v>
      </c>
      <c r="AL4" s="75"/>
      <c r="AM4" s="233" t="s">
        <v>361</v>
      </c>
      <c r="AN4" s="233">
        <v>0.5</v>
      </c>
      <c r="AO4" s="233">
        <v>0.5</v>
      </c>
      <c r="AP4" s="233">
        <v>0.5</v>
      </c>
      <c r="AQ4" s="75"/>
      <c r="AR4" s="10"/>
      <c r="AS4" s="10"/>
      <c r="AT4" s="10"/>
      <c r="AU4" s="10" t="s">
        <v>93</v>
      </c>
    </row>
    <row r="5" spans="1:47" x14ac:dyDescent="0.2">
      <c r="A5" s="3" t="s">
        <v>4</v>
      </c>
      <c r="B5">
        <v>1168</v>
      </c>
      <c r="C5">
        <v>23</v>
      </c>
      <c r="D5">
        <v>1.67</v>
      </c>
      <c r="E5">
        <v>0.13</v>
      </c>
      <c r="F5">
        <v>152</v>
      </c>
      <c r="G5" t="s">
        <v>124</v>
      </c>
      <c r="H5" s="20"/>
      <c r="I5" s="20"/>
      <c r="J5">
        <v>152</v>
      </c>
      <c r="K5">
        <v>1.67</v>
      </c>
      <c r="L5">
        <v>70.06</v>
      </c>
      <c r="M5">
        <v>14.75</v>
      </c>
      <c r="N5">
        <v>17.53</v>
      </c>
      <c r="O5">
        <v>3.69</v>
      </c>
      <c r="P5" s="75"/>
      <c r="Q5" s="27">
        <f xml:space="preserve"> J5 * K5 * L5</f>
        <v>17784.0304</v>
      </c>
      <c r="R5" s="27">
        <f xml:space="preserve"> J5 * K5 * M5</f>
        <v>3744.1399999999994</v>
      </c>
      <c r="S5" s="27">
        <f xml:space="preserve"> J5 * K5 * N5</f>
        <v>4449.8152</v>
      </c>
      <c r="T5" s="27">
        <f xml:space="preserve"> J5 * K5 * O5</f>
        <v>936.66959999999995</v>
      </c>
      <c r="U5" s="75"/>
      <c r="V5" s="27">
        <f xml:space="preserve"> Q5 *0.0021</f>
        <v>37.346463839999998</v>
      </c>
      <c r="W5" s="27">
        <f xml:space="preserve"> R5 * 0.0021</f>
        <v>7.8626939999999985</v>
      </c>
      <c r="X5" s="27">
        <f xml:space="preserve"> S5 * 0.0021</f>
        <v>9.3446119200000002</v>
      </c>
      <c r="Y5" s="27">
        <f xml:space="preserve"> T5 * 0.0021</f>
        <v>1.9670061599999997</v>
      </c>
      <c r="Z5" s="75"/>
      <c r="AA5" s="27">
        <f xml:space="preserve"> Q5 - V5</f>
        <v>17746.68393616</v>
      </c>
      <c r="AB5" s="27">
        <f>R5 - W5</f>
        <v>3736.2773059999995</v>
      </c>
      <c r="AC5" s="27">
        <f xml:space="preserve"> S5-X5</f>
        <v>4440.4705880800002</v>
      </c>
      <c r="AD5" s="27">
        <f xml:space="preserve"> T5 - Y5</f>
        <v>934.70259383999996</v>
      </c>
      <c r="AE5">
        <v>160</v>
      </c>
      <c r="AF5" s="34">
        <f>$AE5/8760</f>
        <v>1.8264840182648401E-2</v>
      </c>
      <c r="AG5" s="34">
        <f t="shared" ref="AG5:AG22" si="0">1- AF5</f>
        <v>0.9817351598173516</v>
      </c>
      <c r="AH5" s="27">
        <f xml:space="preserve"> AA5 * AF5 / 2</f>
        <v>162.07017293296803</v>
      </c>
      <c r="AI5" s="27">
        <f xml:space="preserve"> AB5 * AF5 / 2</f>
        <v>34.121253936073053</v>
      </c>
      <c r="AJ5" s="27">
        <f xml:space="preserve"> AC5 * AF5 /2</f>
        <v>40.552242813515981</v>
      </c>
      <c r="AK5" s="27">
        <f xml:space="preserve"> AD5 *AF5 /2</f>
        <v>8.5360967473972593</v>
      </c>
      <c r="AL5" s="75"/>
      <c r="AM5" s="27">
        <f>AA5 * AG5 + AH5</f>
        <v>17584.613763227029</v>
      </c>
      <c r="AN5" s="27">
        <f xml:space="preserve"> AB5 * AG5 + AI5</f>
        <v>3702.1560520639264</v>
      </c>
      <c r="AO5" s="27">
        <f xml:space="preserve"> AC5 * AG5 + AJ5</f>
        <v>4399.9183452664847</v>
      </c>
      <c r="AP5" s="27">
        <f xml:space="preserve"> AD5 * AG5 + AK5</f>
        <v>926.16649709260264</v>
      </c>
      <c r="AQ5" s="74" t="s">
        <v>376</v>
      </c>
      <c r="AR5" s="142">
        <f xml:space="preserve"> V23 + AH23</f>
        <v>2593.4944110183997</v>
      </c>
      <c r="AS5" s="142">
        <f xml:space="preserve"> W23 + AI23</f>
        <v>546.01830663033672</v>
      </c>
      <c r="AT5" s="142">
        <f xml:space="preserve"> X23 + AJ23</f>
        <v>648.92887560880024</v>
      </c>
      <c r="AU5" s="142">
        <f xml:space="preserve"> Y23 + AK23</f>
        <v>136.59712213328424</v>
      </c>
    </row>
    <row r="6" spans="1:47" x14ac:dyDescent="0.2">
      <c r="A6" s="3" t="s">
        <v>8</v>
      </c>
      <c r="B6">
        <v>1128</v>
      </c>
      <c r="C6">
        <v>41</v>
      </c>
      <c r="D6">
        <v>2.71</v>
      </c>
      <c r="E6">
        <v>0.65</v>
      </c>
      <c r="F6">
        <v>798</v>
      </c>
      <c r="G6" t="s">
        <v>11</v>
      </c>
      <c r="H6" s="20"/>
      <c r="I6" s="20"/>
      <c r="J6">
        <v>798</v>
      </c>
      <c r="K6">
        <v>0.65</v>
      </c>
      <c r="L6">
        <v>70.06</v>
      </c>
      <c r="M6">
        <v>14.75</v>
      </c>
      <c r="N6">
        <v>17.53</v>
      </c>
      <c r="O6">
        <v>3.69</v>
      </c>
      <c r="P6" s="75"/>
      <c r="Q6" s="27">
        <f t="shared" ref="Q6:Q22" si="1" xml:space="preserve"> J6 * K6 * L6</f>
        <v>36340.122000000003</v>
      </c>
      <c r="R6" s="27">
        <f t="shared" ref="R6:R22" si="2" xml:space="preserve"> J6 * K6 * M6</f>
        <v>7650.8250000000007</v>
      </c>
      <c r="S6" s="27">
        <f t="shared" ref="S6:S22" si="3" xml:space="preserve"> J6 * K6 * N6</f>
        <v>9092.8110000000015</v>
      </c>
      <c r="T6" s="27">
        <f t="shared" ref="T6:T22" si="4" xml:space="preserve"> J6 * K6 * O6</f>
        <v>1914.0030000000002</v>
      </c>
      <c r="U6" s="75"/>
      <c r="V6" s="27">
        <f t="shared" ref="V6:V22" si="5" xml:space="preserve"> Q6 *0.0021</f>
        <v>76.314256200000003</v>
      </c>
      <c r="W6" s="27">
        <f t="shared" ref="W6:Y22" si="6" xml:space="preserve"> R6 * 0.0021</f>
        <v>16.066732500000001</v>
      </c>
      <c r="X6" s="27">
        <f t="shared" si="6"/>
        <v>19.094903100000003</v>
      </c>
      <c r="Y6" s="27">
        <f t="shared" si="6"/>
        <v>4.0194063</v>
      </c>
      <c r="Z6" s="75"/>
      <c r="AA6" s="27">
        <f xml:space="preserve"> Q6 - V6</f>
        <v>36263.807743800004</v>
      </c>
      <c r="AB6" s="27">
        <f>R6 - W6</f>
        <v>7634.7582675000003</v>
      </c>
      <c r="AC6" s="27">
        <f xml:space="preserve"> S6-X6</f>
        <v>9073.7160969000015</v>
      </c>
      <c r="AD6" s="27">
        <f xml:space="preserve"> T6 - Y6</f>
        <v>1909.9835937000003</v>
      </c>
      <c r="AE6">
        <v>0</v>
      </c>
      <c r="AF6" s="34">
        <f t="shared" ref="AF6:AF22" si="7">$AE6/8760</f>
        <v>0</v>
      </c>
      <c r="AG6" s="34">
        <f t="shared" si="0"/>
        <v>1</v>
      </c>
      <c r="AH6" s="27">
        <f t="shared" ref="AH6:AH22" si="8" xml:space="preserve"> AA6 * AF6 / 2</f>
        <v>0</v>
      </c>
      <c r="AI6" s="27">
        <f t="shared" ref="AI6:AI22" si="9" xml:space="preserve"> AB6 * AF6 / 2</f>
        <v>0</v>
      </c>
      <c r="AJ6" s="27">
        <f t="shared" ref="AJ6:AJ22" si="10" xml:space="preserve"> AC6 * AF6 /2</f>
        <v>0</v>
      </c>
      <c r="AK6" s="27">
        <f t="shared" ref="AK6:AK22" si="11" xml:space="preserve"> AD6 *AF6 /2</f>
        <v>0</v>
      </c>
      <c r="AL6" s="75"/>
      <c r="AM6" s="27">
        <f t="shared" ref="AM6:AM22" si="12">AA6 * AG6 + AH6</f>
        <v>36263.807743800004</v>
      </c>
      <c r="AN6" s="27">
        <f t="shared" ref="AN6:AN22" si="13" xml:space="preserve"> AB6 * AG6 + AI6</f>
        <v>7634.7582675000003</v>
      </c>
      <c r="AO6" s="27">
        <f t="shared" ref="AO6:AO22" si="14" xml:space="preserve"> AC6 * AG6 + AJ6</f>
        <v>9073.7160969000015</v>
      </c>
      <c r="AP6" s="27">
        <f t="shared" ref="AP6:AP22" si="15" xml:space="preserve"> AD6 * AG6 + AK6</f>
        <v>1909.9835937000003</v>
      </c>
      <c r="AQ6" s="74" t="s">
        <v>377</v>
      </c>
      <c r="AR6" s="1">
        <v>2.6</v>
      </c>
      <c r="AT6" s="1">
        <v>0.65</v>
      </c>
    </row>
    <row r="7" spans="1:47" x14ac:dyDescent="0.2">
      <c r="A7" s="3" t="s">
        <v>10</v>
      </c>
      <c r="B7">
        <v>1869</v>
      </c>
      <c r="C7">
        <v>704</v>
      </c>
      <c r="D7">
        <v>2.25</v>
      </c>
      <c r="F7">
        <v>704</v>
      </c>
      <c r="G7" t="s">
        <v>125</v>
      </c>
      <c r="H7" s="20"/>
      <c r="I7" s="20"/>
      <c r="J7">
        <v>704</v>
      </c>
      <c r="K7">
        <v>2.25</v>
      </c>
      <c r="L7">
        <v>70.06</v>
      </c>
      <c r="M7">
        <v>14.75</v>
      </c>
      <c r="N7">
        <v>17.53</v>
      </c>
      <c r="O7">
        <v>3.69</v>
      </c>
      <c r="P7" s="75"/>
      <c r="Q7" s="27">
        <f t="shared" si="1"/>
        <v>110975.04000000001</v>
      </c>
      <c r="R7" s="27">
        <f t="shared" si="2"/>
        <v>23364</v>
      </c>
      <c r="S7" s="27">
        <f t="shared" si="3"/>
        <v>27767.52</v>
      </c>
      <c r="T7" s="27">
        <f t="shared" si="4"/>
        <v>5844.96</v>
      </c>
      <c r="U7" s="75"/>
      <c r="V7" s="27">
        <f t="shared" si="5"/>
        <v>233.047584</v>
      </c>
      <c r="W7" s="27">
        <f t="shared" si="6"/>
        <v>49.064399999999999</v>
      </c>
      <c r="X7" s="27">
        <f t="shared" si="6"/>
        <v>58.311791999999997</v>
      </c>
      <c r="Y7" s="27">
        <f t="shared" si="6"/>
        <v>12.274415999999999</v>
      </c>
      <c r="Z7" s="75"/>
      <c r="AA7" s="27">
        <f xml:space="preserve"> Q7 - V7</f>
        <v>110741.99241600001</v>
      </c>
      <c r="AB7" s="27">
        <f>R7 - W7</f>
        <v>23314.935600000001</v>
      </c>
      <c r="AC7" s="27">
        <f xml:space="preserve"> S7-X7</f>
        <v>27709.208208</v>
      </c>
      <c r="AD7" s="27">
        <f xml:space="preserve"> T7 - Y7</f>
        <v>5832.6855839999998</v>
      </c>
      <c r="AE7">
        <v>4</v>
      </c>
      <c r="AF7" s="34">
        <f t="shared" si="7"/>
        <v>4.5662100456621003E-4</v>
      </c>
      <c r="AG7" s="34">
        <f t="shared" si="0"/>
        <v>0.99954337899543377</v>
      </c>
      <c r="AH7" s="27">
        <f t="shared" si="8"/>
        <v>25.283559912328769</v>
      </c>
      <c r="AI7" s="27">
        <f t="shared" si="9"/>
        <v>5.3230446575342469</v>
      </c>
      <c r="AJ7" s="27">
        <f t="shared" si="10"/>
        <v>6.3263032438356159</v>
      </c>
      <c r="AK7" s="27">
        <f t="shared" si="11"/>
        <v>1.3316633753424656</v>
      </c>
      <c r="AL7" s="75"/>
      <c r="AM7" s="27">
        <f t="shared" si="12"/>
        <v>110716.70885608769</v>
      </c>
      <c r="AN7" s="27">
        <f t="shared" si="13"/>
        <v>23309.612555342464</v>
      </c>
      <c r="AO7" s="27">
        <f t="shared" si="14"/>
        <v>27702.881904756166</v>
      </c>
      <c r="AP7" s="27">
        <f t="shared" si="15"/>
        <v>5831.3539206246569</v>
      </c>
      <c r="AQ7" s="75"/>
    </row>
    <row r="8" spans="1:47" x14ac:dyDescent="0.2">
      <c r="A8" s="3" t="s">
        <v>12</v>
      </c>
      <c r="B8">
        <v>1239</v>
      </c>
      <c r="C8">
        <v>1221</v>
      </c>
      <c r="D8">
        <v>0.17</v>
      </c>
      <c r="F8">
        <v>211</v>
      </c>
      <c r="G8" t="s">
        <v>126</v>
      </c>
      <c r="H8" s="20"/>
      <c r="I8" s="20"/>
      <c r="J8">
        <v>211</v>
      </c>
      <c r="K8">
        <v>0.17</v>
      </c>
      <c r="L8">
        <v>70.06</v>
      </c>
      <c r="M8">
        <v>14.75</v>
      </c>
      <c r="N8">
        <v>17.53</v>
      </c>
      <c r="O8">
        <v>3.69</v>
      </c>
      <c r="P8" s="75"/>
      <c r="Q8" s="27">
        <f t="shared" si="1"/>
        <v>2513.0522000000005</v>
      </c>
      <c r="R8" s="27">
        <f t="shared" si="2"/>
        <v>529.0825000000001</v>
      </c>
      <c r="S8" s="27">
        <f t="shared" si="3"/>
        <v>628.80110000000013</v>
      </c>
      <c r="T8" s="27">
        <f t="shared" si="4"/>
        <v>132.36030000000002</v>
      </c>
      <c r="U8" s="75"/>
      <c r="V8" s="27">
        <f t="shared" si="5"/>
        <v>5.2774096200000011</v>
      </c>
      <c r="W8" s="27">
        <f t="shared" si="6"/>
        <v>1.1110732500000002</v>
      </c>
      <c r="X8" s="27">
        <f t="shared" si="6"/>
        <v>1.3204823100000003</v>
      </c>
      <c r="Y8" s="27">
        <f t="shared" si="6"/>
        <v>0.27795663000000004</v>
      </c>
      <c r="Z8" s="75"/>
      <c r="AA8" s="27">
        <f xml:space="preserve"> Q8 - V8</f>
        <v>2507.7747903800005</v>
      </c>
      <c r="AB8" s="27">
        <f>R8 - W8</f>
        <v>527.97142675000009</v>
      </c>
      <c r="AC8" s="27">
        <f xml:space="preserve"> S8-X8</f>
        <v>627.48061769000014</v>
      </c>
      <c r="AD8" s="27">
        <f xml:space="preserve"> T8 - Y8</f>
        <v>132.08234337000002</v>
      </c>
      <c r="AE8">
        <v>266</v>
      </c>
      <c r="AF8" s="34">
        <f t="shared" si="7"/>
        <v>3.0365296803652967E-2</v>
      </c>
      <c r="AG8" s="34">
        <f t="shared" si="0"/>
        <v>0.96963470319634704</v>
      </c>
      <c r="AH8" s="27">
        <f t="shared" si="8"/>
        <v>38.074662913303662</v>
      </c>
      <c r="AI8" s="27">
        <f t="shared" si="9"/>
        <v>8.0160045385559364</v>
      </c>
      <c r="AJ8" s="27">
        <f t="shared" si="10"/>
        <v>9.5268175973481757</v>
      </c>
      <c r="AK8" s="27">
        <f t="shared" si="11"/>
        <v>2.0053597794760276</v>
      </c>
      <c r="AL8" s="75"/>
      <c r="AM8" s="27">
        <f t="shared" si="12"/>
        <v>2469.7001274666968</v>
      </c>
      <c r="AN8" s="27">
        <f t="shared" si="13"/>
        <v>519.95542221144422</v>
      </c>
      <c r="AO8" s="27">
        <f t="shared" si="14"/>
        <v>617.95380009265205</v>
      </c>
      <c r="AP8" s="27">
        <f t="shared" si="15"/>
        <v>130.07698359052401</v>
      </c>
      <c r="AQ8" s="75"/>
    </row>
    <row r="9" spans="1:47" x14ac:dyDescent="0.2">
      <c r="A9" s="3" t="s">
        <v>17</v>
      </c>
      <c r="B9">
        <v>1700.5</v>
      </c>
      <c r="C9">
        <v>744</v>
      </c>
      <c r="D9">
        <v>0.74</v>
      </c>
      <c r="F9">
        <v>1258</v>
      </c>
      <c r="G9" t="s">
        <v>126</v>
      </c>
      <c r="H9" s="20"/>
      <c r="I9" s="20"/>
      <c r="J9">
        <v>1258</v>
      </c>
      <c r="K9">
        <v>0.74</v>
      </c>
      <c r="L9">
        <v>70.06</v>
      </c>
      <c r="M9">
        <v>14.75</v>
      </c>
      <c r="N9">
        <v>17.53</v>
      </c>
      <c r="O9">
        <v>3.69</v>
      </c>
      <c r="P9" s="75"/>
      <c r="Q9" s="27">
        <f t="shared" si="1"/>
        <v>65220.2552</v>
      </c>
      <c r="R9" s="27">
        <f t="shared" si="2"/>
        <v>13731.07</v>
      </c>
      <c r="S9" s="27">
        <f t="shared" si="3"/>
        <v>16319.027599999999</v>
      </c>
      <c r="T9" s="27">
        <f t="shared" si="4"/>
        <v>3435.0947999999999</v>
      </c>
      <c r="U9" s="75"/>
      <c r="V9" s="27">
        <f t="shared" si="5"/>
        <v>136.96253591999999</v>
      </c>
      <c r="W9" s="27">
        <f t="shared" si="6"/>
        <v>28.835246999999999</v>
      </c>
      <c r="X9" s="27">
        <f t="shared" si="6"/>
        <v>34.269957959999999</v>
      </c>
      <c r="Y9" s="27">
        <f t="shared" si="6"/>
        <v>7.2136990799999996</v>
      </c>
      <c r="Z9" s="75"/>
      <c r="AA9" s="27">
        <f xml:space="preserve"> Q9 - V9</f>
        <v>65083.29266408</v>
      </c>
      <c r="AB9" s="27">
        <f>R9 - W9</f>
        <v>13702.234752999999</v>
      </c>
      <c r="AC9" s="27">
        <f xml:space="preserve"> S9-X9</f>
        <v>16284.75764204</v>
      </c>
      <c r="AD9" s="27">
        <f xml:space="preserve"> T9 - Y9</f>
        <v>3427.8811009199999</v>
      </c>
      <c r="AE9">
        <v>80</v>
      </c>
      <c r="AF9" s="34">
        <f t="shared" si="7"/>
        <v>9.1324200913242004E-3</v>
      </c>
      <c r="AG9" s="34">
        <f t="shared" si="0"/>
        <v>0.9908675799086758</v>
      </c>
      <c r="AH9" s="27">
        <f t="shared" si="8"/>
        <v>297.18398476748854</v>
      </c>
      <c r="AI9" s="27">
        <f t="shared" si="9"/>
        <v>62.567281977168939</v>
      </c>
      <c r="AJ9" s="27">
        <f t="shared" si="10"/>
        <v>74.359623936255701</v>
      </c>
      <c r="AK9" s="27">
        <f t="shared" si="11"/>
        <v>15.652425118356163</v>
      </c>
      <c r="AL9" s="75"/>
      <c r="AM9" s="27">
        <f t="shared" si="12"/>
        <v>64786.108679312507</v>
      </c>
      <c r="AN9" s="27">
        <f t="shared" si="13"/>
        <v>13639.667471022831</v>
      </c>
      <c r="AO9" s="27">
        <f t="shared" si="14"/>
        <v>16210.398018103744</v>
      </c>
      <c r="AP9" s="27">
        <f t="shared" si="15"/>
        <v>3412.2286758016435</v>
      </c>
      <c r="AQ9" s="75"/>
    </row>
    <row r="10" spans="1:47" x14ac:dyDescent="0.2">
      <c r="A10" s="3" t="s">
        <v>19</v>
      </c>
      <c r="B10">
        <v>1688</v>
      </c>
      <c r="C10">
        <v>152.5</v>
      </c>
      <c r="D10">
        <v>1.29</v>
      </c>
      <c r="E10">
        <v>0.35299999999999998</v>
      </c>
      <c r="F10">
        <v>596</v>
      </c>
      <c r="G10" t="s">
        <v>124</v>
      </c>
      <c r="H10" s="20"/>
      <c r="I10" s="20"/>
      <c r="J10">
        <v>596</v>
      </c>
      <c r="K10">
        <v>0.35</v>
      </c>
      <c r="L10">
        <v>70.06</v>
      </c>
      <c r="M10">
        <v>14.75</v>
      </c>
      <c r="N10">
        <v>17.53</v>
      </c>
      <c r="O10">
        <v>3.69</v>
      </c>
      <c r="P10" s="75"/>
      <c r="Q10" s="27">
        <f t="shared" si="1"/>
        <v>14614.516</v>
      </c>
      <c r="R10" s="27">
        <f t="shared" si="2"/>
        <v>3076.85</v>
      </c>
      <c r="S10" s="27">
        <f t="shared" si="3"/>
        <v>3656.7580000000003</v>
      </c>
      <c r="T10" s="27">
        <f t="shared" si="4"/>
        <v>769.73399999999992</v>
      </c>
      <c r="U10" s="75"/>
      <c r="V10" s="27">
        <f t="shared" si="5"/>
        <v>30.690483599999997</v>
      </c>
      <c r="W10" s="27">
        <f t="shared" si="6"/>
        <v>6.461384999999999</v>
      </c>
      <c r="X10" s="27">
        <f t="shared" si="6"/>
        <v>7.6791917999999999</v>
      </c>
      <c r="Y10" s="27">
        <f t="shared" si="6"/>
        <v>1.6164413999999998</v>
      </c>
      <c r="Z10" s="75"/>
      <c r="AA10" s="27">
        <f xml:space="preserve"> Q10 - V10</f>
        <v>14583.8255164</v>
      </c>
      <c r="AB10" s="27">
        <f>R10 - W10</f>
        <v>3070.3886149999998</v>
      </c>
      <c r="AC10" s="27">
        <f xml:space="preserve"> S10-X10</f>
        <v>3649.0788082000004</v>
      </c>
      <c r="AD10" s="27">
        <f xml:space="preserve"> T10 - Y10</f>
        <v>768.11755859999994</v>
      </c>
      <c r="AE10">
        <v>332</v>
      </c>
      <c r="AF10" s="34">
        <f t="shared" si="7"/>
        <v>3.7899543378995433E-2</v>
      </c>
      <c r="AG10" s="34">
        <f t="shared" si="0"/>
        <v>0.96210045662100452</v>
      </c>
      <c r="AH10" s="27">
        <f t="shared" si="8"/>
        <v>276.36016389525116</v>
      </c>
      <c r="AI10" s="27">
        <f t="shared" si="9"/>
        <v>58.183163252283101</v>
      </c>
      <c r="AJ10" s="27">
        <f t="shared" si="10"/>
        <v>69.149210292374434</v>
      </c>
      <c r="AK10" s="27">
        <f t="shared" si="11"/>
        <v>14.555652366164383</v>
      </c>
      <c r="AL10" s="75"/>
      <c r="AM10" s="27">
        <f t="shared" si="12"/>
        <v>14307.465352504749</v>
      </c>
      <c r="AN10" s="27">
        <f t="shared" si="13"/>
        <v>3012.2054517477168</v>
      </c>
      <c r="AO10" s="27">
        <f t="shared" si="14"/>
        <v>3579.9295979076255</v>
      </c>
      <c r="AP10" s="27">
        <f t="shared" si="15"/>
        <v>753.56190623383554</v>
      </c>
      <c r="AQ10" s="75"/>
    </row>
    <row r="11" spans="1:47" x14ac:dyDescent="0.2">
      <c r="A11" s="3" t="s">
        <v>20</v>
      </c>
      <c r="B11">
        <v>2122</v>
      </c>
      <c r="C11">
        <v>15</v>
      </c>
      <c r="D11">
        <v>0.24</v>
      </c>
      <c r="E11">
        <v>0.317</v>
      </c>
      <c r="F11">
        <v>673</v>
      </c>
      <c r="G11" t="s">
        <v>124</v>
      </c>
      <c r="H11" s="20"/>
      <c r="I11" s="20"/>
      <c r="J11">
        <v>673</v>
      </c>
      <c r="K11">
        <v>0.32</v>
      </c>
      <c r="L11">
        <v>70.06</v>
      </c>
      <c r="M11">
        <v>14.75</v>
      </c>
      <c r="N11">
        <v>17.53</v>
      </c>
      <c r="O11">
        <v>3.69</v>
      </c>
      <c r="P11" s="75"/>
      <c r="Q11" s="27">
        <f t="shared" si="1"/>
        <v>15088.121600000002</v>
      </c>
      <c r="R11" s="27">
        <f t="shared" si="2"/>
        <v>3176.5600000000004</v>
      </c>
      <c r="S11" s="27">
        <f t="shared" si="3"/>
        <v>3775.2608000000005</v>
      </c>
      <c r="T11" s="27">
        <f t="shared" si="4"/>
        <v>794.67840000000001</v>
      </c>
      <c r="U11" s="75"/>
      <c r="V11" s="27">
        <f t="shared" si="5"/>
        <v>31.685055360000003</v>
      </c>
      <c r="W11" s="27">
        <f t="shared" si="6"/>
        <v>6.670776</v>
      </c>
      <c r="X11" s="27">
        <f t="shared" si="6"/>
        <v>7.9280476800000006</v>
      </c>
      <c r="Y11" s="27">
        <f t="shared" si="6"/>
        <v>1.66882464</v>
      </c>
      <c r="Z11" s="75"/>
      <c r="AA11" s="27">
        <f xml:space="preserve"> Q11 - V11</f>
        <v>15056.436544640002</v>
      </c>
      <c r="AB11" s="27">
        <f>R11 - W11</f>
        <v>3169.8892240000005</v>
      </c>
      <c r="AC11" s="27">
        <f xml:space="preserve"> S11-X11</f>
        <v>3767.3327523200005</v>
      </c>
      <c r="AD11" s="27">
        <f xml:space="preserve"> T11 - Y11</f>
        <v>793.00957535999999</v>
      </c>
      <c r="AE11">
        <v>0</v>
      </c>
      <c r="AF11" s="34">
        <f t="shared" si="7"/>
        <v>0</v>
      </c>
      <c r="AG11" s="34">
        <f t="shared" si="0"/>
        <v>1</v>
      </c>
      <c r="AH11" s="27">
        <f t="shared" si="8"/>
        <v>0</v>
      </c>
      <c r="AI11" s="27">
        <f t="shared" si="9"/>
        <v>0</v>
      </c>
      <c r="AJ11" s="27">
        <f t="shared" si="10"/>
        <v>0</v>
      </c>
      <c r="AK11" s="27">
        <f t="shared" si="11"/>
        <v>0</v>
      </c>
      <c r="AL11" s="75"/>
      <c r="AM11" s="27">
        <f t="shared" si="12"/>
        <v>15056.436544640002</v>
      </c>
      <c r="AN11" s="27">
        <f t="shared" si="13"/>
        <v>3169.8892240000005</v>
      </c>
      <c r="AO11" s="27">
        <f t="shared" si="14"/>
        <v>3767.3327523200005</v>
      </c>
      <c r="AP11" s="27">
        <f t="shared" si="15"/>
        <v>793.00957535999999</v>
      </c>
      <c r="AQ11" s="75"/>
    </row>
    <row r="12" spans="1:47" x14ac:dyDescent="0.2">
      <c r="A12" s="3" t="s">
        <v>21</v>
      </c>
      <c r="B12">
        <v>2122</v>
      </c>
      <c r="C12">
        <v>15</v>
      </c>
      <c r="D12">
        <v>1.36</v>
      </c>
      <c r="E12">
        <v>0.19</v>
      </c>
      <c r="F12">
        <v>403</v>
      </c>
      <c r="G12" t="s">
        <v>124</v>
      </c>
      <c r="H12" s="20"/>
      <c r="I12" s="20"/>
      <c r="J12">
        <v>403</v>
      </c>
      <c r="K12">
        <v>0.19</v>
      </c>
      <c r="L12">
        <v>70.06</v>
      </c>
      <c r="M12">
        <v>14.75</v>
      </c>
      <c r="N12">
        <v>17.53</v>
      </c>
      <c r="O12">
        <v>3.69</v>
      </c>
      <c r="P12" s="75"/>
      <c r="Q12" s="27">
        <f t="shared" si="1"/>
        <v>5364.494200000001</v>
      </c>
      <c r="R12" s="27">
        <f t="shared" si="2"/>
        <v>1129.4075</v>
      </c>
      <c r="S12" s="27">
        <f t="shared" si="3"/>
        <v>1342.2721000000001</v>
      </c>
      <c r="T12" s="27">
        <f t="shared" si="4"/>
        <v>282.54330000000004</v>
      </c>
      <c r="U12" s="75"/>
      <c r="V12" s="27">
        <f t="shared" si="5"/>
        <v>11.265437820000001</v>
      </c>
      <c r="W12" s="27">
        <f t="shared" si="6"/>
        <v>2.3717557499999997</v>
      </c>
      <c r="X12" s="27">
        <f t="shared" si="6"/>
        <v>2.8187714100000001</v>
      </c>
      <c r="Y12" s="27">
        <f t="shared" si="6"/>
        <v>0.5933409300000001</v>
      </c>
      <c r="Z12" s="75"/>
      <c r="AA12" s="27">
        <f xml:space="preserve"> Q12 - V12</f>
        <v>5353.2287621800006</v>
      </c>
      <c r="AB12" s="27">
        <f>R12 - W12</f>
        <v>1127.0357442500001</v>
      </c>
      <c r="AC12" s="27">
        <f xml:space="preserve"> S12-X12</f>
        <v>1339.4533285900002</v>
      </c>
      <c r="AD12" s="27">
        <f xml:space="preserve"> T12 - Y12</f>
        <v>281.94995907000003</v>
      </c>
      <c r="AE12">
        <v>10</v>
      </c>
      <c r="AF12" s="34">
        <f t="shared" si="7"/>
        <v>1.1415525114155251E-3</v>
      </c>
      <c r="AG12" s="34">
        <f t="shared" si="0"/>
        <v>0.99885844748858443</v>
      </c>
      <c r="AH12" s="27">
        <f t="shared" si="8"/>
        <v>3.0554958688242011</v>
      </c>
      <c r="AI12" s="27">
        <f t="shared" si="9"/>
        <v>0.64328524215182648</v>
      </c>
      <c r="AJ12" s="27">
        <f t="shared" si="10"/>
        <v>0.76452815558789966</v>
      </c>
      <c r="AK12" s="27">
        <f t="shared" si="11"/>
        <v>0.16093034193493153</v>
      </c>
      <c r="AL12" s="75"/>
      <c r="AM12" s="27">
        <f t="shared" si="12"/>
        <v>5350.1732663111761</v>
      </c>
      <c r="AN12" s="27">
        <f t="shared" si="13"/>
        <v>1126.3924590078484</v>
      </c>
      <c r="AO12" s="27">
        <f t="shared" si="14"/>
        <v>1338.6888004344121</v>
      </c>
      <c r="AP12" s="27">
        <f t="shared" si="15"/>
        <v>281.78902872806509</v>
      </c>
      <c r="AQ12" s="75"/>
    </row>
    <row r="13" spans="1:47" x14ac:dyDescent="0.2">
      <c r="A13" s="3" t="s">
        <v>23</v>
      </c>
      <c r="B13">
        <v>1479</v>
      </c>
      <c r="C13">
        <v>8</v>
      </c>
      <c r="D13">
        <v>1.01</v>
      </c>
      <c r="F13">
        <v>8</v>
      </c>
      <c r="G13" t="s">
        <v>30</v>
      </c>
      <c r="H13" s="20"/>
      <c r="I13" s="20"/>
      <c r="J13">
        <v>8</v>
      </c>
      <c r="K13">
        <v>1.01</v>
      </c>
      <c r="L13">
        <v>70.06</v>
      </c>
      <c r="M13">
        <v>14.75</v>
      </c>
      <c r="N13">
        <v>17.53</v>
      </c>
      <c r="O13">
        <v>3.69</v>
      </c>
      <c r="P13" s="75"/>
      <c r="Q13" s="27">
        <f t="shared" si="1"/>
        <v>566.08479999999997</v>
      </c>
      <c r="R13" s="27">
        <f t="shared" si="2"/>
        <v>119.18</v>
      </c>
      <c r="S13" s="27">
        <f t="shared" si="3"/>
        <v>141.64240000000001</v>
      </c>
      <c r="T13" s="27">
        <f t="shared" si="4"/>
        <v>29.815200000000001</v>
      </c>
      <c r="U13" s="75"/>
      <c r="V13" s="27">
        <f t="shared" si="5"/>
        <v>1.1887780799999998</v>
      </c>
      <c r="W13" s="27">
        <f t="shared" si="6"/>
        <v>0.250278</v>
      </c>
      <c r="X13" s="27">
        <f t="shared" si="6"/>
        <v>0.29744904</v>
      </c>
      <c r="Y13" s="27">
        <f t="shared" si="6"/>
        <v>6.2611920000000001E-2</v>
      </c>
      <c r="Z13" s="75"/>
      <c r="AA13" s="27">
        <f xml:space="preserve"> Q13 - V13</f>
        <v>564.89602191999995</v>
      </c>
      <c r="AB13" s="27">
        <f>R13 - W13</f>
        <v>118.92972200000001</v>
      </c>
      <c r="AC13" s="27">
        <f xml:space="preserve"> S13-X13</f>
        <v>141.34495096000001</v>
      </c>
      <c r="AD13" s="27">
        <f xml:space="preserve"> T13 - Y13</f>
        <v>29.752588080000002</v>
      </c>
      <c r="AE13">
        <v>886</v>
      </c>
      <c r="AF13" s="34">
        <f t="shared" si="7"/>
        <v>0.10114155251141553</v>
      </c>
      <c r="AG13" s="34">
        <f t="shared" si="0"/>
        <v>0.89885844748858446</v>
      </c>
      <c r="AH13" s="27">
        <f t="shared" si="8"/>
        <v>28.567230332255708</v>
      </c>
      <c r="AI13" s="27">
        <f t="shared" si="9"/>
        <v>6.0143683614155261</v>
      </c>
      <c r="AJ13" s="27">
        <f t="shared" si="10"/>
        <v>7.1479238898721471</v>
      </c>
      <c r="AK13" s="27">
        <f t="shared" si="11"/>
        <v>1.5046114748219179</v>
      </c>
      <c r="AL13" s="75"/>
      <c r="AM13" s="27">
        <f t="shared" si="12"/>
        <v>536.32879158774426</v>
      </c>
      <c r="AN13" s="27">
        <f t="shared" si="13"/>
        <v>112.91535363858448</v>
      </c>
      <c r="AO13" s="27">
        <f t="shared" si="14"/>
        <v>134.19702707012786</v>
      </c>
      <c r="AP13" s="27">
        <f t="shared" si="15"/>
        <v>28.247976605178085</v>
      </c>
      <c r="AQ13" s="75"/>
    </row>
    <row r="14" spans="1:47" x14ac:dyDescent="0.2">
      <c r="A14" s="3" t="s">
        <v>24</v>
      </c>
      <c r="B14">
        <v>1228</v>
      </c>
      <c r="C14">
        <v>41</v>
      </c>
      <c r="D14">
        <v>3.38</v>
      </c>
      <c r="E14">
        <v>0.32500000000000001</v>
      </c>
      <c r="F14">
        <v>399</v>
      </c>
      <c r="G14" t="s">
        <v>124</v>
      </c>
      <c r="H14" s="20"/>
      <c r="I14" s="20"/>
      <c r="J14">
        <v>399</v>
      </c>
      <c r="K14">
        <v>0.33</v>
      </c>
      <c r="L14">
        <v>70.06</v>
      </c>
      <c r="M14">
        <v>14.75</v>
      </c>
      <c r="N14">
        <v>17.53</v>
      </c>
      <c r="O14">
        <v>3.69</v>
      </c>
      <c r="P14" s="75"/>
      <c r="Q14" s="27">
        <f t="shared" si="1"/>
        <v>9224.8002000000015</v>
      </c>
      <c r="R14" s="27">
        <f t="shared" si="2"/>
        <v>1942.1325000000002</v>
      </c>
      <c r="S14" s="27">
        <f t="shared" si="3"/>
        <v>2308.1751000000004</v>
      </c>
      <c r="T14" s="27">
        <f t="shared" si="4"/>
        <v>485.86230000000006</v>
      </c>
      <c r="U14" s="75"/>
      <c r="V14" s="27">
        <f t="shared" si="5"/>
        <v>19.372080420000003</v>
      </c>
      <c r="W14" s="27">
        <f t="shared" si="6"/>
        <v>4.0784782499999999</v>
      </c>
      <c r="X14" s="27">
        <f t="shared" si="6"/>
        <v>4.8471677100000008</v>
      </c>
      <c r="Y14" s="27">
        <f t="shared" si="6"/>
        <v>1.0203108300000001</v>
      </c>
      <c r="Z14" s="75"/>
      <c r="AA14" s="27">
        <f xml:space="preserve"> Q14 - V14</f>
        <v>9205.4281195800013</v>
      </c>
      <c r="AB14" s="27">
        <f>R14 - W14</f>
        <v>1938.0540217500002</v>
      </c>
      <c r="AC14" s="27">
        <f xml:space="preserve"> S14-X14</f>
        <v>2303.3279322900003</v>
      </c>
      <c r="AD14" s="27">
        <f xml:space="preserve"> T14 - Y14</f>
        <v>484.84198917000003</v>
      </c>
      <c r="AE14">
        <v>167</v>
      </c>
      <c r="AF14" s="34">
        <f t="shared" si="7"/>
        <v>1.906392694063927E-2</v>
      </c>
      <c r="AG14" s="34">
        <f t="shared" si="0"/>
        <v>0.9809360730593607</v>
      </c>
      <c r="AH14" s="27">
        <f t="shared" si="8"/>
        <v>87.745804564489745</v>
      </c>
      <c r="AI14" s="27">
        <f t="shared" si="9"/>
        <v>18.473460138827058</v>
      </c>
      <c r="AJ14" s="27">
        <f t="shared" si="10"/>
        <v>21.955237710755139</v>
      </c>
      <c r="AK14" s="27">
        <f t="shared" si="11"/>
        <v>4.6214961296455481</v>
      </c>
      <c r="AL14" s="75"/>
      <c r="AM14" s="27">
        <f t="shared" si="12"/>
        <v>9117.6823150155105</v>
      </c>
      <c r="AN14" s="27">
        <f t="shared" si="13"/>
        <v>1919.5805616111729</v>
      </c>
      <c r="AO14" s="27">
        <f t="shared" si="14"/>
        <v>2281.372694579245</v>
      </c>
      <c r="AP14" s="27">
        <f t="shared" si="15"/>
        <v>480.22049304035448</v>
      </c>
      <c r="AQ14" s="75"/>
    </row>
    <row r="15" spans="1:47" x14ac:dyDescent="0.2">
      <c r="A15" s="3" t="s">
        <v>31</v>
      </c>
      <c r="B15">
        <v>1379</v>
      </c>
      <c r="C15">
        <v>6</v>
      </c>
      <c r="D15">
        <v>0.59</v>
      </c>
      <c r="F15">
        <v>6</v>
      </c>
      <c r="G15" t="s">
        <v>30</v>
      </c>
      <c r="H15" s="20"/>
      <c r="I15" s="20"/>
      <c r="J15">
        <v>6</v>
      </c>
      <c r="K15">
        <v>0.59</v>
      </c>
      <c r="L15">
        <v>70.06</v>
      </c>
      <c r="M15">
        <v>14.75</v>
      </c>
      <c r="N15">
        <v>17.53</v>
      </c>
      <c r="O15">
        <v>3.69</v>
      </c>
      <c r="P15" s="75"/>
      <c r="Q15" s="27">
        <f t="shared" si="1"/>
        <v>248.01240000000001</v>
      </c>
      <c r="R15" s="27">
        <f t="shared" si="2"/>
        <v>52.215000000000003</v>
      </c>
      <c r="S15" s="27">
        <f t="shared" si="3"/>
        <v>62.056200000000004</v>
      </c>
      <c r="T15" s="27">
        <f t="shared" si="4"/>
        <v>13.0626</v>
      </c>
      <c r="U15" s="75"/>
      <c r="V15" s="27">
        <f t="shared" si="5"/>
        <v>0.52082603999999999</v>
      </c>
      <c r="W15" s="27">
        <f t="shared" si="6"/>
        <v>0.1096515</v>
      </c>
      <c r="X15" s="27">
        <f t="shared" si="6"/>
        <v>0.13031802000000001</v>
      </c>
      <c r="Y15" s="27">
        <f t="shared" si="6"/>
        <v>2.7431459999999998E-2</v>
      </c>
      <c r="Z15" s="75"/>
      <c r="AA15" s="27">
        <f xml:space="preserve"> Q15 - V15</f>
        <v>247.49157396000001</v>
      </c>
      <c r="AB15" s="27">
        <f>R15 - W15</f>
        <v>52.105348500000005</v>
      </c>
      <c r="AC15" s="27">
        <f xml:space="preserve"> S15-X15</f>
        <v>61.925881980000007</v>
      </c>
      <c r="AD15" s="27">
        <f xml:space="preserve"> T15 - Y15</f>
        <v>13.035168539999999</v>
      </c>
      <c r="AE15">
        <v>1315</v>
      </c>
      <c r="AF15" s="34">
        <f t="shared" si="7"/>
        <v>0.15011415525114155</v>
      </c>
      <c r="AG15" s="34">
        <f t="shared" si="0"/>
        <v>0.84988584474885842</v>
      </c>
      <c r="AH15" s="27">
        <f t="shared" si="8"/>
        <v>18.575994278390411</v>
      </c>
      <c r="AI15" s="27">
        <f t="shared" si="9"/>
        <v>3.9108751870719183</v>
      </c>
      <c r="AJ15" s="27">
        <f t="shared" si="10"/>
        <v>4.6479757308047951</v>
      </c>
      <c r="AK15" s="27">
        <f t="shared" si="11"/>
        <v>0.978381656969178</v>
      </c>
      <c r="AL15" s="75"/>
      <c r="AM15" s="27">
        <f t="shared" si="12"/>
        <v>228.91557968160959</v>
      </c>
      <c r="AN15" s="27">
        <f t="shared" si="13"/>
        <v>48.194473312928082</v>
      </c>
      <c r="AO15" s="27">
        <f t="shared" si="14"/>
        <v>57.277906249195212</v>
      </c>
      <c r="AP15" s="27">
        <f t="shared" si="15"/>
        <v>12.056786883030821</v>
      </c>
      <c r="AQ15" s="75"/>
    </row>
    <row r="16" spans="1:47" x14ac:dyDescent="0.2">
      <c r="A16" s="3" t="s">
        <v>33</v>
      </c>
      <c r="B16">
        <v>1179</v>
      </c>
      <c r="C16">
        <v>10</v>
      </c>
      <c r="D16">
        <v>2.5</v>
      </c>
      <c r="E16">
        <v>0.625</v>
      </c>
      <c r="F16">
        <v>737</v>
      </c>
      <c r="G16" t="s">
        <v>11</v>
      </c>
      <c r="H16" s="20"/>
      <c r="I16" s="20"/>
      <c r="J16">
        <v>737</v>
      </c>
      <c r="K16">
        <v>0.63</v>
      </c>
      <c r="L16">
        <v>70.06</v>
      </c>
      <c r="M16">
        <v>14.75</v>
      </c>
      <c r="N16">
        <v>17.53</v>
      </c>
      <c r="O16">
        <v>3.69</v>
      </c>
      <c r="P16" s="75"/>
      <c r="Q16" s="27">
        <f t="shared" si="1"/>
        <v>32529.5586</v>
      </c>
      <c r="R16" s="27">
        <f t="shared" si="2"/>
        <v>6848.5725000000002</v>
      </c>
      <c r="S16" s="27">
        <f t="shared" si="3"/>
        <v>8139.3543000000009</v>
      </c>
      <c r="T16" s="27">
        <f t="shared" si="4"/>
        <v>1713.3038999999999</v>
      </c>
      <c r="U16" s="75"/>
      <c r="V16" s="27">
        <f t="shared" si="5"/>
        <v>68.312073060000003</v>
      </c>
      <c r="W16" s="27">
        <f t="shared" si="6"/>
        <v>14.382002249999999</v>
      </c>
      <c r="X16" s="27">
        <f t="shared" si="6"/>
        <v>17.092644030000002</v>
      </c>
      <c r="Y16" s="27">
        <f t="shared" si="6"/>
        <v>3.5979381899999994</v>
      </c>
      <c r="Z16" s="75"/>
      <c r="AA16" s="27">
        <f xml:space="preserve"> Q16 - V16</f>
        <v>32461.246526940002</v>
      </c>
      <c r="AB16" s="27">
        <f>R16 - W16</f>
        <v>6834.1904977499998</v>
      </c>
      <c r="AC16" s="27">
        <f xml:space="preserve"> S16-X16</f>
        <v>8122.2616559700009</v>
      </c>
      <c r="AD16" s="27">
        <f xml:space="preserve"> T16 - Y16</f>
        <v>1709.70596181</v>
      </c>
      <c r="AE16">
        <v>149</v>
      </c>
      <c r="AF16" s="34">
        <f t="shared" si="7"/>
        <v>1.7009132420091323E-2</v>
      </c>
      <c r="AG16" s="34">
        <f t="shared" si="0"/>
        <v>0.98299086757990872</v>
      </c>
      <c r="AH16" s="27">
        <f t="shared" si="8"/>
        <v>276.06882034897603</v>
      </c>
      <c r="AI16" s="27">
        <f t="shared" si="9"/>
        <v>58.121825580179788</v>
      </c>
      <c r="AJ16" s="27">
        <f t="shared" si="10"/>
        <v>69.076312028511992</v>
      </c>
      <c r="AK16" s="27">
        <f t="shared" si="11"/>
        <v>14.540307551922943</v>
      </c>
      <c r="AL16" s="75"/>
      <c r="AM16" s="27">
        <f t="shared" si="12"/>
        <v>32185.177706591028</v>
      </c>
      <c r="AN16" s="27">
        <f t="shared" si="13"/>
        <v>6776.0686721698203</v>
      </c>
      <c r="AO16" s="27">
        <f t="shared" si="14"/>
        <v>8053.185343941489</v>
      </c>
      <c r="AP16" s="27">
        <f t="shared" si="15"/>
        <v>1695.1656542580772</v>
      </c>
      <c r="AQ16" s="75"/>
    </row>
    <row r="17" spans="1:47" x14ac:dyDescent="0.2">
      <c r="A17" s="3" t="s">
        <v>35</v>
      </c>
      <c r="B17">
        <v>1252</v>
      </c>
      <c r="C17">
        <v>1250</v>
      </c>
      <c r="D17">
        <v>0.08</v>
      </c>
      <c r="F17">
        <v>100</v>
      </c>
      <c r="G17" t="s">
        <v>126</v>
      </c>
      <c r="H17" s="20"/>
      <c r="I17" s="20"/>
      <c r="J17">
        <v>100</v>
      </c>
      <c r="K17">
        <v>0.08</v>
      </c>
      <c r="L17">
        <v>70.06</v>
      </c>
      <c r="M17">
        <v>14.75</v>
      </c>
      <c r="N17">
        <v>17.53</v>
      </c>
      <c r="O17">
        <v>3.69</v>
      </c>
      <c r="P17" s="75"/>
      <c r="Q17" s="27">
        <f t="shared" si="1"/>
        <v>560.48</v>
      </c>
      <c r="R17" s="27">
        <f t="shared" si="2"/>
        <v>118</v>
      </c>
      <c r="S17" s="27">
        <f t="shared" si="3"/>
        <v>140.24</v>
      </c>
      <c r="T17" s="27">
        <f t="shared" si="4"/>
        <v>29.52</v>
      </c>
      <c r="U17" s="75"/>
      <c r="V17" s="27">
        <f t="shared" si="5"/>
        <v>1.1770080000000001</v>
      </c>
      <c r="W17" s="27">
        <f t="shared" si="6"/>
        <v>0.24779999999999999</v>
      </c>
      <c r="X17" s="27">
        <f t="shared" si="6"/>
        <v>0.29450399999999999</v>
      </c>
      <c r="Y17" s="27">
        <f t="shared" si="6"/>
        <v>6.1991999999999998E-2</v>
      </c>
      <c r="Z17" s="75"/>
      <c r="AA17" s="27">
        <f xml:space="preserve"> Q17 - V17</f>
        <v>559.30299200000002</v>
      </c>
      <c r="AB17" s="27">
        <f>R17 - W17</f>
        <v>117.7522</v>
      </c>
      <c r="AC17" s="27">
        <f xml:space="preserve"> S17-X17</f>
        <v>139.94549600000002</v>
      </c>
      <c r="AD17" s="27">
        <f xml:space="preserve"> T17 - Y17</f>
        <v>29.458008</v>
      </c>
      <c r="AE17">
        <v>1181</v>
      </c>
      <c r="AF17" s="34">
        <f t="shared" si="7"/>
        <v>0.13481735159817351</v>
      </c>
      <c r="AG17" s="34">
        <f t="shared" si="0"/>
        <v>0.86518264840182646</v>
      </c>
      <c r="AH17" s="27">
        <f t="shared" si="8"/>
        <v>37.701874061187212</v>
      </c>
      <c r="AI17" s="27">
        <f t="shared" si="9"/>
        <v>7.9375198744292232</v>
      </c>
      <c r="AJ17" s="27">
        <f t="shared" si="10"/>
        <v>9.433540569406393</v>
      </c>
      <c r="AK17" s="27">
        <f t="shared" si="11"/>
        <v>1.9857253109589039</v>
      </c>
      <c r="AL17" s="75"/>
      <c r="AM17" s="27">
        <f t="shared" si="12"/>
        <v>521.60111793881276</v>
      </c>
      <c r="AN17" s="27">
        <f t="shared" si="13"/>
        <v>109.81468012557077</v>
      </c>
      <c r="AO17" s="27">
        <f t="shared" si="14"/>
        <v>130.51195543059362</v>
      </c>
      <c r="AP17" s="27">
        <f t="shared" si="15"/>
        <v>27.472282689041094</v>
      </c>
      <c r="AQ17" s="75"/>
    </row>
    <row r="18" spans="1:47" x14ac:dyDescent="0.2">
      <c r="A18" s="3" t="s">
        <v>37</v>
      </c>
      <c r="B18">
        <v>1186.5</v>
      </c>
      <c r="C18">
        <v>901</v>
      </c>
      <c r="D18">
        <v>0.69</v>
      </c>
      <c r="E18">
        <v>0.16500000000000001</v>
      </c>
      <c r="F18">
        <v>819</v>
      </c>
      <c r="G18" t="s">
        <v>16</v>
      </c>
      <c r="H18" s="20"/>
      <c r="I18" s="20"/>
      <c r="J18">
        <v>819</v>
      </c>
      <c r="K18">
        <v>0.17</v>
      </c>
      <c r="L18">
        <v>70.06</v>
      </c>
      <c r="M18">
        <v>14.75</v>
      </c>
      <c r="N18">
        <v>17.53</v>
      </c>
      <c r="O18">
        <v>3.69</v>
      </c>
      <c r="P18" s="75"/>
      <c r="Q18" s="27">
        <f t="shared" si="1"/>
        <v>9754.4538000000011</v>
      </c>
      <c r="R18" s="27">
        <f t="shared" si="2"/>
        <v>2053.6425000000004</v>
      </c>
      <c r="S18" s="27">
        <f t="shared" si="3"/>
        <v>2440.7019000000005</v>
      </c>
      <c r="T18" s="27">
        <f t="shared" si="4"/>
        <v>513.75870000000009</v>
      </c>
      <c r="U18" s="75"/>
      <c r="V18" s="27">
        <f t="shared" si="5"/>
        <v>20.484352980000001</v>
      </c>
      <c r="W18" s="27">
        <f t="shared" si="6"/>
        <v>4.3126492500000007</v>
      </c>
      <c r="X18" s="27">
        <f t="shared" si="6"/>
        <v>5.1254739900000006</v>
      </c>
      <c r="Y18" s="27">
        <f t="shared" si="6"/>
        <v>1.07889327</v>
      </c>
      <c r="Z18" s="75"/>
      <c r="AA18" s="27">
        <f xml:space="preserve"> Q18 - V18</f>
        <v>9733.9694470200011</v>
      </c>
      <c r="AB18" s="27">
        <f>R18 - W18</f>
        <v>2049.3298507500003</v>
      </c>
      <c r="AC18" s="27">
        <f xml:space="preserve"> S18-X18</f>
        <v>2435.5764260100004</v>
      </c>
      <c r="AD18" s="27">
        <f xml:space="preserve"> T18 - Y18</f>
        <v>512.67980673000011</v>
      </c>
      <c r="AE18">
        <v>171</v>
      </c>
      <c r="AF18" s="34">
        <f t="shared" si="7"/>
        <v>1.9520547945205479E-2</v>
      </c>
      <c r="AG18" s="34">
        <f t="shared" si="0"/>
        <v>0.98047945205479448</v>
      </c>
      <c r="AH18" s="27">
        <f t="shared" si="8"/>
        <v>95.006208643859594</v>
      </c>
      <c r="AI18" s="27">
        <f t="shared" si="9"/>
        <v>20.002020803553084</v>
      </c>
      <c r="AJ18" s="27">
        <f t="shared" si="10"/>
        <v>23.77189319907021</v>
      </c>
      <c r="AK18" s="27">
        <f t="shared" si="11"/>
        <v>5.0038953739058227</v>
      </c>
      <c r="AL18" s="75"/>
      <c r="AM18" s="27">
        <f t="shared" si="12"/>
        <v>9638.96323837614</v>
      </c>
      <c r="AN18" s="27">
        <f t="shared" si="13"/>
        <v>2029.3278299464471</v>
      </c>
      <c r="AO18" s="27">
        <f t="shared" si="14"/>
        <v>2411.8045328109301</v>
      </c>
      <c r="AP18" s="27">
        <f t="shared" si="15"/>
        <v>507.67591135609428</v>
      </c>
      <c r="AQ18" s="75"/>
    </row>
    <row r="19" spans="1:47" x14ac:dyDescent="0.2">
      <c r="A19" s="3" t="s">
        <v>39</v>
      </c>
      <c r="B19">
        <v>1747</v>
      </c>
      <c r="C19">
        <v>901</v>
      </c>
      <c r="D19">
        <v>0.41</v>
      </c>
      <c r="F19">
        <v>716</v>
      </c>
      <c r="G19" t="s">
        <v>126</v>
      </c>
      <c r="H19" s="20"/>
      <c r="I19" s="20"/>
      <c r="J19">
        <v>716</v>
      </c>
      <c r="K19">
        <v>0.41</v>
      </c>
      <c r="L19">
        <v>70.06</v>
      </c>
      <c r="M19">
        <v>14.75</v>
      </c>
      <c r="N19">
        <v>17.53</v>
      </c>
      <c r="O19">
        <v>3.69</v>
      </c>
      <c r="P19" s="75"/>
      <c r="Q19" s="27">
        <f t="shared" si="1"/>
        <v>20566.813600000001</v>
      </c>
      <c r="R19" s="27">
        <f t="shared" si="2"/>
        <v>4330.01</v>
      </c>
      <c r="S19" s="27">
        <f t="shared" si="3"/>
        <v>5146.1068000000005</v>
      </c>
      <c r="T19" s="27">
        <f t="shared" si="4"/>
        <v>1083.2364</v>
      </c>
      <c r="U19" s="75"/>
      <c r="V19" s="27">
        <f t="shared" si="5"/>
        <v>43.190308559999998</v>
      </c>
      <c r="W19" s="27">
        <f t="shared" si="6"/>
        <v>9.0930210000000002</v>
      </c>
      <c r="X19" s="27">
        <f t="shared" si="6"/>
        <v>10.806824280000001</v>
      </c>
      <c r="Y19" s="27">
        <f t="shared" si="6"/>
        <v>2.2747964399999998</v>
      </c>
      <c r="Z19" s="75"/>
      <c r="AA19" s="27">
        <f xml:space="preserve"> Q19 - V19</f>
        <v>20523.623291440003</v>
      </c>
      <c r="AB19" s="27">
        <f>R19 - W19</f>
        <v>4320.9169790000005</v>
      </c>
      <c r="AC19" s="27">
        <f xml:space="preserve"> S19-X19</f>
        <v>5135.2999757200005</v>
      </c>
      <c r="AD19" s="27">
        <f xml:space="preserve"> T19 - Y19</f>
        <v>1080.96160356</v>
      </c>
      <c r="AE19">
        <v>14</v>
      </c>
      <c r="AF19" s="34">
        <f t="shared" si="7"/>
        <v>1.5981735159817352E-3</v>
      </c>
      <c r="AG19" s="34">
        <f t="shared" si="0"/>
        <v>0.99840182648401832</v>
      </c>
      <c r="AH19" s="27">
        <f t="shared" si="8"/>
        <v>16.40015559818265</v>
      </c>
      <c r="AI19" s="27">
        <f t="shared" si="9"/>
        <v>3.4527875402968045</v>
      </c>
      <c r="AJ19" s="27">
        <f t="shared" si="10"/>
        <v>4.1035502089086764</v>
      </c>
      <c r="AK19" s="27">
        <f t="shared" si="11"/>
        <v>0.86378210330136984</v>
      </c>
      <c r="AL19" s="75"/>
      <c r="AM19" s="27">
        <f t="shared" si="12"/>
        <v>20507.223135841821</v>
      </c>
      <c r="AN19" s="27">
        <f t="shared" si="13"/>
        <v>4317.4641914597032</v>
      </c>
      <c r="AO19" s="27">
        <f t="shared" si="14"/>
        <v>5131.1964255110925</v>
      </c>
      <c r="AP19" s="27">
        <f t="shared" si="15"/>
        <v>1080.0978214566987</v>
      </c>
      <c r="AQ19" s="75"/>
    </row>
    <row r="20" spans="1:47" x14ac:dyDescent="0.2">
      <c r="A20" s="3" t="s">
        <v>41</v>
      </c>
      <c r="B20">
        <v>1179</v>
      </c>
      <c r="C20">
        <v>10</v>
      </c>
      <c r="D20">
        <v>0.34</v>
      </c>
      <c r="E20">
        <v>0.25</v>
      </c>
      <c r="F20">
        <v>295</v>
      </c>
      <c r="G20" t="s">
        <v>11</v>
      </c>
      <c r="H20" s="20"/>
      <c r="I20" s="20"/>
      <c r="J20">
        <v>295</v>
      </c>
      <c r="K20">
        <v>0.25</v>
      </c>
      <c r="L20">
        <v>70.06</v>
      </c>
      <c r="M20">
        <v>14.75</v>
      </c>
      <c r="N20">
        <v>17.53</v>
      </c>
      <c r="O20">
        <v>3.69</v>
      </c>
      <c r="P20" s="75"/>
      <c r="Q20" s="27">
        <f t="shared" si="1"/>
        <v>5166.9250000000002</v>
      </c>
      <c r="R20" s="27">
        <f t="shared" si="2"/>
        <v>1087.8125</v>
      </c>
      <c r="S20" s="27">
        <f t="shared" si="3"/>
        <v>1292.8375000000001</v>
      </c>
      <c r="T20" s="27">
        <f t="shared" si="4"/>
        <v>272.13749999999999</v>
      </c>
      <c r="U20" s="75"/>
      <c r="V20" s="27">
        <f t="shared" si="5"/>
        <v>10.8505425</v>
      </c>
      <c r="W20" s="27">
        <f t="shared" si="6"/>
        <v>2.28440625</v>
      </c>
      <c r="X20" s="27">
        <f t="shared" si="6"/>
        <v>2.7149587500000001</v>
      </c>
      <c r="Y20" s="27">
        <f t="shared" si="6"/>
        <v>0.57148874999999999</v>
      </c>
      <c r="Z20" s="75"/>
      <c r="AA20" s="27">
        <f xml:space="preserve"> Q20 - V20</f>
        <v>5156.0744574999999</v>
      </c>
      <c r="AB20" s="27">
        <f>R20 - W20</f>
        <v>1085.5280937499999</v>
      </c>
      <c r="AC20" s="27">
        <f xml:space="preserve"> S20-X20</f>
        <v>1290.12254125</v>
      </c>
      <c r="AD20" s="27">
        <f xml:space="preserve"> T20 - Y20</f>
        <v>271.56601124999997</v>
      </c>
      <c r="AE20">
        <v>39</v>
      </c>
      <c r="AF20" s="34">
        <f t="shared" si="7"/>
        <v>4.4520547945205479E-3</v>
      </c>
      <c r="AG20" s="34">
        <f t="shared" si="0"/>
        <v>0.9955479452054794</v>
      </c>
      <c r="AH20" s="27">
        <f t="shared" si="8"/>
        <v>11.477563004708903</v>
      </c>
      <c r="AI20" s="27">
        <f t="shared" si="9"/>
        <v>2.4164152771832188</v>
      </c>
      <c r="AJ20" s="27">
        <f t="shared" si="10"/>
        <v>2.8718481226455479</v>
      </c>
      <c r="AK20" s="27">
        <f t="shared" si="11"/>
        <v>0.60451338120719167</v>
      </c>
      <c r="AL20" s="75"/>
      <c r="AM20" s="27">
        <f t="shared" si="12"/>
        <v>5144.5968944952911</v>
      </c>
      <c r="AN20" s="27">
        <f t="shared" si="13"/>
        <v>1083.1116784728167</v>
      </c>
      <c r="AO20" s="27">
        <f t="shared" si="14"/>
        <v>1287.2506931273545</v>
      </c>
      <c r="AP20" s="27">
        <f t="shared" si="15"/>
        <v>270.96149786879278</v>
      </c>
      <c r="AQ20" s="75"/>
    </row>
    <row r="21" spans="1:47" x14ac:dyDescent="0.2">
      <c r="A21" s="3" t="s">
        <v>43</v>
      </c>
      <c r="B21">
        <v>1760</v>
      </c>
      <c r="C21">
        <v>7</v>
      </c>
      <c r="D21">
        <v>0.78</v>
      </c>
      <c r="F21">
        <v>7</v>
      </c>
      <c r="G21" t="s">
        <v>30</v>
      </c>
      <c r="H21" s="20"/>
      <c r="I21" s="20"/>
      <c r="J21">
        <v>7</v>
      </c>
      <c r="K21">
        <v>0.78</v>
      </c>
      <c r="L21">
        <v>70.06</v>
      </c>
      <c r="M21">
        <v>14.75</v>
      </c>
      <c r="N21">
        <v>17.53</v>
      </c>
      <c r="O21">
        <v>3.69</v>
      </c>
      <c r="P21" s="75"/>
      <c r="Q21" s="27">
        <f t="shared" si="1"/>
        <v>382.52760000000001</v>
      </c>
      <c r="R21" s="27">
        <f t="shared" si="2"/>
        <v>80.534999999999997</v>
      </c>
      <c r="S21" s="27">
        <f t="shared" si="3"/>
        <v>95.713800000000006</v>
      </c>
      <c r="T21" s="27">
        <f t="shared" si="4"/>
        <v>20.147400000000001</v>
      </c>
      <c r="U21" s="75"/>
      <c r="V21" s="27">
        <f t="shared" si="5"/>
        <v>0.80330795999999993</v>
      </c>
      <c r="W21" s="27">
        <f t="shared" si="6"/>
        <v>0.16912349999999998</v>
      </c>
      <c r="X21" s="27">
        <f t="shared" si="6"/>
        <v>0.20099897999999999</v>
      </c>
      <c r="Y21" s="27">
        <f t="shared" si="6"/>
        <v>4.230954E-2</v>
      </c>
      <c r="Z21" s="75"/>
      <c r="AA21" s="27">
        <f xml:space="preserve"> Q21 - V21</f>
        <v>381.72429204000002</v>
      </c>
      <c r="AB21" s="27">
        <f>R21 - W21</f>
        <v>80.365876499999999</v>
      </c>
      <c r="AC21" s="27">
        <f xml:space="preserve"> S21-X21</f>
        <v>95.512801020000012</v>
      </c>
      <c r="AD21" s="27">
        <f xml:space="preserve"> T21 - Y21</f>
        <v>20.10509046</v>
      </c>
      <c r="AE21">
        <v>2027</v>
      </c>
      <c r="AF21" s="34">
        <f t="shared" si="7"/>
        <v>0.23139269406392693</v>
      </c>
      <c r="AG21" s="34">
        <f t="shared" si="0"/>
        <v>0.76860730593607307</v>
      </c>
      <c r="AH21" s="27">
        <f t="shared" si="8"/>
        <v>44.164106162390411</v>
      </c>
      <c r="AI21" s="27">
        <f t="shared" si="9"/>
        <v>9.2980383370719171</v>
      </c>
      <c r="AJ21" s="27">
        <f t="shared" si="10"/>
        <v>11.050482172804795</v>
      </c>
      <c r="AK21" s="27">
        <f t="shared" si="11"/>
        <v>2.3260855229691777</v>
      </c>
      <c r="AL21" s="75"/>
      <c r="AM21" s="27">
        <f t="shared" si="12"/>
        <v>337.56018587760957</v>
      </c>
      <c r="AN21" s="27">
        <f t="shared" si="13"/>
        <v>71.067838162928084</v>
      </c>
      <c r="AO21" s="27">
        <f t="shared" si="14"/>
        <v>84.462318847195206</v>
      </c>
      <c r="AP21" s="27">
        <f t="shared" si="15"/>
        <v>17.77900493703082</v>
      </c>
      <c r="AQ21" s="75"/>
    </row>
    <row r="22" spans="1:47" x14ac:dyDescent="0.2">
      <c r="A22" s="3" t="s">
        <v>45</v>
      </c>
      <c r="B22">
        <v>1760</v>
      </c>
      <c r="C22">
        <v>7</v>
      </c>
      <c r="D22">
        <v>14.26</v>
      </c>
      <c r="F22">
        <v>7</v>
      </c>
      <c r="G22" t="s">
        <v>30</v>
      </c>
      <c r="H22" s="20"/>
      <c r="I22" s="20"/>
      <c r="J22">
        <v>7</v>
      </c>
      <c r="K22">
        <v>14.26</v>
      </c>
      <c r="L22">
        <v>70.06</v>
      </c>
      <c r="M22">
        <v>14.75</v>
      </c>
      <c r="N22">
        <v>17.53</v>
      </c>
      <c r="O22">
        <v>3.69</v>
      </c>
      <c r="P22" s="75"/>
      <c r="Q22" s="27">
        <f t="shared" si="1"/>
        <v>6993.3891999999996</v>
      </c>
      <c r="R22" s="27">
        <f t="shared" si="2"/>
        <v>1472.3449999999998</v>
      </c>
      <c r="S22" s="27">
        <f t="shared" si="3"/>
        <v>1749.8445999999999</v>
      </c>
      <c r="T22" s="27">
        <f t="shared" si="4"/>
        <v>368.33579999999995</v>
      </c>
      <c r="U22" s="75"/>
      <c r="V22" s="27">
        <f t="shared" si="5"/>
        <v>14.686117319999997</v>
      </c>
      <c r="W22" s="27">
        <f t="shared" si="6"/>
        <v>3.0919244999999993</v>
      </c>
      <c r="X22" s="27">
        <f t="shared" si="6"/>
        <v>3.6746736599999994</v>
      </c>
      <c r="Y22" s="27">
        <f t="shared" si="6"/>
        <v>0.77350517999999979</v>
      </c>
      <c r="Z22" s="75"/>
      <c r="AA22" s="27">
        <f xml:space="preserve"> Q22 - V22</f>
        <v>6978.7030826799992</v>
      </c>
      <c r="AB22" s="27">
        <f>R22 - W22</f>
        <v>1469.2530754999998</v>
      </c>
      <c r="AC22" s="27">
        <f xml:space="preserve"> S22-X22</f>
        <v>1746.1699263399998</v>
      </c>
      <c r="AD22" s="27">
        <f xml:space="preserve"> T22 - Y22</f>
        <v>367.56229481999998</v>
      </c>
      <c r="AE22">
        <v>1086</v>
      </c>
      <c r="AF22" s="34">
        <f t="shared" si="7"/>
        <v>0.12397260273972603</v>
      </c>
      <c r="AG22" s="34">
        <f t="shared" si="0"/>
        <v>0.87602739726027401</v>
      </c>
      <c r="AH22" s="27">
        <f t="shared" si="8"/>
        <v>432.58399245379451</v>
      </c>
      <c r="AI22" s="27">
        <f t="shared" si="9"/>
        <v>91.073563926541084</v>
      </c>
      <c r="AJ22" s="27">
        <f t="shared" si="10"/>
        <v>108.23861529710274</v>
      </c>
      <c r="AK22" s="27">
        <f t="shared" si="11"/>
        <v>22.783827178910958</v>
      </c>
      <c r="AL22" s="75"/>
      <c r="AM22" s="27">
        <f t="shared" si="12"/>
        <v>6546.1190902262042</v>
      </c>
      <c r="AN22" s="27">
        <f t="shared" si="13"/>
        <v>1378.1795115734587</v>
      </c>
      <c r="AO22" s="27">
        <f t="shared" si="14"/>
        <v>1637.9313110428973</v>
      </c>
      <c r="AP22" s="27">
        <f t="shared" si="15"/>
        <v>344.77846764108904</v>
      </c>
      <c r="AQ22" s="75"/>
    </row>
    <row r="23" spans="1:47" x14ac:dyDescent="0.2">
      <c r="A23" s="48"/>
      <c r="B23" s="11"/>
      <c r="C23" s="11"/>
      <c r="D23" s="11"/>
      <c r="E23" s="11">
        <f>$E5+$E6+$E7+$E8+$E9+$E10+$E11+$E12+$E13+$E14+$E15+$E16+$E17+$E18+$E19+$E20+$E21+$E22</f>
        <v>3.0049999999999999</v>
      </c>
      <c r="F23" s="11"/>
      <c r="G23" s="11"/>
      <c r="H23" s="20"/>
      <c r="I23" s="20"/>
      <c r="J23" s="11"/>
      <c r="K23" s="11"/>
      <c r="L23" s="11"/>
      <c r="M23" s="11"/>
      <c r="N23" s="11"/>
      <c r="O23" s="11"/>
      <c r="P23" s="75"/>
      <c r="Q23" s="77">
        <f xml:space="preserve"> SUM(Q5:Q22)</f>
        <v>353892.67679999996</v>
      </c>
      <c r="R23" s="77">
        <f xml:space="preserve"> SUM(R5:R22)</f>
        <v>74506.37999999999</v>
      </c>
      <c r="S23" s="77">
        <f xml:space="preserve"> SUM(S5:S22)</f>
        <v>88548.938399999999</v>
      </c>
      <c r="T23" s="77">
        <f xml:space="preserve"> SUM(T5:T22)</f>
        <v>18639.223200000004</v>
      </c>
      <c r="U23" s="75"/>
      <c r="V23" s="77">
        <f>SUM(V5:V22)</f>
        <v>743.17462127999988</v>
      </c>
      <c r="W23" s="77">
        <f xml:space="preserve"> SUM(W5:W22)</f>
        <v>156.46339800000001</v>
      </c>
      <c r="X23" s="77">
        <f xml:space="preserve"> SUM(X5:X22)</f>
        <v>185.95277064000001</v>
      </c>
      <c r="Y23" s="77">
        <f xml:space="preserve"> SUM(Y5:Y22)</f>
        <v>39.142368719999993</v>
      </c>
      <c r="Z23" s="75"/>
      <c r="AA23" s="77">
        <f xml:space="preserve"> SUM(AA5:AA22)</f>
        <v>353149.50217872008</v>
      </c>
      <c r="AB23" s="77">
        <f xml:space="preserve"> SUM(AB5:AB22)</f>
        <v>74349.916602000027</v>
      </c>
      <c r="AC23" s="77">
        <f xml:space="preserve"> SUM(AC5:AC22)</f>
        <v>88362.985629360002</v>
      </c>
      <c r="AD23" s="77">
        <f xml:space="preserve"> SUM(AD5:AD22)</f>
        <v>18600.08083128</v>
      </c>
      <c r="AE23" s="11">
        <f xml:space="preserve"> SUM(AE5:AE21)</f>
        <v>6801</v>
      </c>
      <c r="AF23" s="11"/>
      <c r="AG23" s="11"/>
      <c r="AH23" s="77">
        <f xml:space="preserve"> SUM(AH5:AH22)</f>
        <v>1850.3197897383995</v>
      </c>
      <c r="AI23" s="77">
        <f>SUM(AI5:AI22)</f>
        <v>389.55490863033674</v>
      </c>
      <c r="AJ23" s="77">
        <f xml:space="preserve"> SUM(AJ5:AJ22)</f>
        <v>462.97610496880026</v>
      </c>
      <c r="AK23" s="77">
        <f xml:space="preserve"> SUM(AK5:AK22)</f>
        <v>97.454753413284251</v>
      </c>
      <c r="AL23" s="75"/>
      <c r="AM23" s="77">
        <f xml:space="preserve"> SUM(AM5:AM22)</f>
        <v>351299.18238898163</v>
      </c>
      <c r="AN23" s="77">
        <f>SUM(AN5:AN22)</f>
        <v>73960.361693369661</v>
      </c>
      <c r="AO23" s="77">
        <f>SUM(AO5:AO22)</f>
        <v>87900.009524391193</v>
      </c>
      <c r="AP23" s="77">
        <f>SUM(AP5:AP22)</f>
        <v>18502.626077866717</v>
      </c>
      <c r="AQ23" s="75"/>
      <c r="AR23" s="11"/>
      <c r="AS23" s="11"/>
      <c r="AT23" s="11"/>
      <c r="AU23" s="11"/>
    </row>
    <row r="24" spans="1:47" ht="19" x14ac:dyDescent="0.25">
      <c r="A24" s="71" t="s">
        <v>134</v>
      </c>
      <c r="B24" s="70"/>
      <c r="C24" s="70"/>
      <c r="D24" s="70"/>
      <c r="E24" s="70"/>
      <c r="F24" s="70"/>
      <c r="G24" s="70"/>
      <c r="H24" s="20"/>
      <c r="I24" s="20"/>
      <c r="J24" s="69"/>
      <c r="K24" s="70"/>
      <c r="L24" s="70"/>
      <c r="M24" s="70"/>
      <c r="N24" s="70"/>
      <c r="O24" s="70"/>
      <c r="P24" s="76"/>
      <c r="Q24" s="70"/>
      <c r="R24" s="70"/>
      <c r="S24" s="70"/>
      <c r="T24" s="70"/>
      <c r="U24" s="75"/>
      <c r="Z24" s="75"/>
      <c r="AA24" s="27"/>
      <c r="AE24" s="11"/>
      <c r="AF24" s="11"/>
      <c r="AG24" s="11"/>
      <c r="AL24" s="75"/>
      <c r="AQ24" s="74" t="s">
        <v>376</v>
      </c>
      <c r="AR24" s="142">
        <f xml:space="preserve"> V51 + AH51</f>
        <v>40136.957951057324</v>
      </c>
      <c r="AS24" s="142">
        <f xml:space="preserve"> W51 + AI51</f>
        <v>8450.1874076233998</v>
      </c>
      <c r="AT24" s="142">
        <f xml:space="preserve"> X51 + AJ51</f>
        <v>10042.832898687338</v>
      </c>
      <c r="AU24" s="142">
        <f xml:space="preserve"> Y51 + AK51</f>
        <v>2113.9790870596853</v>
      </c>
    </row>
    <row r="25" spans="1:47" x14ac:dyDescent="0.2">
      <c r="A25" s="3" t="s">
        <v>47</v>
      </c>
      <c r="B25">
        <v>1362</v>
      </c>
      <c r="C25">
        <v>101</v>
      </c>
      <c r="D25">
        <v>14.28</v>
      </c>
      <c r="E25">
        <v>0.57999999999999996</v>
      </c>
      <c r="F25" s="2">
        <f t="shared" ref="F25:F36" si="16">B25*E25</f>
        <v>789.95999999999992</v>
      </c>
      <c r="G25" t="s">
        <v>11</v>
      </c>
      <c r="H25" s="20"/>
      <c r="I25" s="20"/>
      <c r="J25">
        <v>790</v>
      </c>
      <c r="K25">
        <v>14.28</v>
      </c>
      <c r="L25">
        <v>70.06</v>
      </c>
      <c r="M25">
        <v>14.75</v>
      </c>
      <c r="N25">
        <v>17.53</v>
      </c>
      <c r="O25">
        <v>3.69</v>
      </c>
      <c r="P25" s="75"/>
      <c r="Q25" s="27">
        <f t="shared" ref="Q25:Q50" si="17" xml:space="preserve"> J25 * K25 * L25</f>
        <v>790360.87199999997</v>
      </c>
      <c r="R25" s="27">
        <f t="shared" ref="R25:R50" si="18" xml:space="preserve"> J25 * K25 * M25</f>
        <v>166397.69999999998</v>
      </c>
      <c r="S25" s="27">
        <f t="shared" ref="S25:S50" si="19" xml:space="preserve"> J25 * K25 * N25</f>
        <v>197759.43599999999</v>
      </c>
      <c r="T25" s="27">
        <f t="shared" ref="T25:T50" si="20" xml:space="preserve"> J25 * K25 * O25</f>
        <v>41627.627999999997</v>
      </c>
      <c r="U25" s="75"/>
      <c r="V25" s="27">
        <f t="shared" ref="V25:V50" si="21" xml:space="preserve"> Q25 *0.0021</f>
        <v>1659.7578311999998</v>
      </c>
      <c r="W25" s="27">
        <f t="shared" ref="W25:Y50" si="22" xml:space="preserve"> R25 * 0.0021</f>
        <v>349.43516999999991</v>
      </c>
      <c r="X25" s="27">
        <f t="shared" si="22"/>
        <v>415.29481559999994</v>
      </c>
      <c r="Y25" s="27">
        <f t="shared" si="22"/>
        <v>87.418018799999984</v>
      </c>
      <c r="Z25" s="75"/>
      <c r="AA25" s="27">
        <f xml:space="preserve"> Q25 - V25</f>
        <v>788701.11416879995</v>
      </c>
      <c r="AB25" s="27">
        <f>R25 - W25</f>
        <v>166048.26482999997</v>
      </c>
      <c r="AC25" s="27">
        <f xml:space="preserve"> S25-X25</f>
        <v>197344.14118439998</v>
      </c>
      <c r="AD25" s="27">
        <f xml:space="preserve"> T25 - Y25</f>
        <v>41540.209981199994</v>
      </c>
      <c r="AE25">
        <v>426</v>
      </c>
      <c r="AF25" s="34">
        <f t="shared" ref="AF25:AF35" si="23">$AE25/8760</f>
        <v>4.8630136986301371E-2</v>
      </c>
      <c r="AG25" s="34">
        <f t="shared" ref="AG25:AG35" si="24">1- AF25</f>
        <v>0.95136986301369864</v>
      </c>
      <c r="AH25" s="27">
        <f t="shared" ref="AH25:AH35" si="25" xml:space="preserve"> AA25 * AF25 / 2</f>
        <v>19177.321611638628</v>
      </c>
      <c r="AI25" s="27">
        <f t="shared" ref="AI25:AI35" si="26" xml:space="preserve"> AB25 * AF25 / 2</f>
        <v>4037.4749325102734</v>
      </c>
      <c r="AJ25" s="27">
        <f t="shared" ref="AJ25:AJ35" si="27" xml:space="preserve"> AC25 * AF25 /2</f>
        <v>4798.4363096206844</v>
      </c>
      <c r="AK25" s="27">
        <f t="shared" ref="AK25:AK35" si="28" xml:space="preserve"> AD25 *AF25 /2</f>
        <v>1010.0530509127396</v>
      </c>
      <c r="AL25" s="75"/>
      <c r="AM25" s="27">
        <f t="shared" ref="AM25:AM50" si="29">AA25 * AG25 + AH25</f>
        <v>769523.7925571613</v>
      </c>
      <c r="AN25" s="27">
        <f t="shared" ref="AN25:AN35" si="30" xml:space="preserve"> AB25 * AG25 + AI25</f>
        <v>162010.78989748968</v>
      </c>
      <c r="AO25" s="27">
        <f t="shared" ref="AO25:AO35" si="31" xml:space="preserve"> AC25 * AG25 + AJ25</f>
        <v>192545.7048747793</v>
      </c>
      <c r="AP25" s="27">
        <f t="shared" ref="AP25:AP35" si="32" xml:space="preserve"> AD25 * AG25 + AK25</f>
        <v>40530.156930287259</v>
      </c>
      <c r="AQ25" s="74" t="s">
        <v>377</v>
      </c>
      <c r="AR25" s="1">
        <v>42.11</v>
      </c>
      <c r="AT25" s="1">
        <v>10.54</v>
      </c>
    </row>
    <row r="26" spans="1:47" x14ac:dyDescent="0.2">
      <c r="A26" s="3" t="s">
        <v>48</v>
      </c>
      <c r="B26">
        <v>2369</v>
      </c>
      <c r="C26">
        <v>1327</v>
      </c>
      <c r="D26">
        <v>0.63</v>
      </c>
      <c r="E26">
        <v>0.32</v>
      </c>
      <c r="F26" s="2">
        <f t="shared" si="16"/>
        <v>758.08</v>
      </c>
      <c r="G26" t="s">
        <v>11</v>
      </c>
      <c r="H26" s="20"/>
      <c r="I26" s="20"/>
      <c r="J26">
        <v>758</v>
      </c>
      <c r="K26">
        <v>0.63</v>
      </c>
      <c r="L26">
        <v>70.06</v>
      </c>
      <c r="M26">
        <v>14.75</v>
      </c>
      <c r="N26">
        <v>17.53</v>
      </c>
      <c r="O26">
        <v>3.69</v>
      </c>
      <c r="P26" s="75"/>
      <c r="Q26" s="27">
        <f t="shared" si="17"/>
        <v>33456.452400000002</v>
      </c>
      <c r="R26" s="27">
        <f t="shared" si="18"/>
        <v>7043.7150000000001</v>
      </c>
      <c r="S26" s="27">
        <f t="shared" si="19"/>
        <v>8371.2762000000002</v>
      </c>
      <c r="T26" s="27">
        <f t="shared" si="20"/>
        <v>1762.1226000000001</v>
      </c>
      <c r="U26" s="75"/>
      <c r="V26" s="27">
        <f t="shared" si="21"/>
        <v>70.258550040000003</v>
      </c>
      <c r="W26" s="27">
        <f t="shared" si="22"/>
        <v>14.7918015</v>
      </c>
      <c r="X26" s="27">
        <f t="shared" si="22"/>
        <v>17.579680019999998</v>
      </c>
      <c r="Y26" s="27">
        <f t="shared" si="22"/>
        <v>3.70045746</v>
      </c>
      <c r="Z26" s="75"/>
      <c r="AA26" s="27">
        <f xml:space="preserve"> Q26 - V26</f>
        <v>33386.19384996</v>
      </c>
      <c r="AB26" s="27">
        <f>R26 - W26</f>
        <v>7028.9231985000006</v>
      </c>
      <c r="AC26" s="27">
        <f xml:space="preserve"> S26-X26</f>
        <v>8353.6965199799997</v>
      </c>
      <c r="AD26" s="27">
        <f xml:space="preserve"> T26 - Y26</f>
        <v>1758.4221425400001</v>
      </c>
      <c r="AE26">
        <v>471</v>
      </c>
      <c r="AF26" s="34">
        <f t="shared" si="23"/>
        <v>5.3767123287671234E-2</v>
      </c>
      <c r="AG26" s="34">
        <f t="shared" si="24"/>
        <v>0.94623287671232881</v>
      </c>
      <c r="AH26" s="27">
        <f t="shared" si="25"/>
        <v>897.53980041844522</v>
      </c>
      <c r="AI26" s="27">
        <f t="shared" si="26"/>
        <v>188.96249009666099</v>
      </c>
      <c r="AJ26" s="27">
        <f t="shared" si="27"/>
        <v>224.5771153487774</v>
      </c>
      <c r="AK26" s="27">
        <f t="shared" si="28"/>
        <v>47.27265006485959</v>
      </c>
      <c r="AL26" s="75"/>
      <c r="AM26" s="27">
        <f t="shared" si="29"/>
        <v>32488.654049541557</v>
      </c>
      <c r="AN26" s="27">
        <f t="shared" si="30"/>
        <v>6839.9607084033396</v>
      </c>
      <c r="AO26" s="27">
        <f t="shared" si="31"/>
        <v>8129.119404631223</v>
      </c>
      <c r="AP26" s="27">
        <f t="shared" si="32"/>
        <v>1711.1494924751405</v>
      </c>
      <c r="AQ26" s="75"/>
    </row>
    <row r="27" spans="1:47" x14ac:dyDescent="0.2">
      <c r="A27" s="3" t="s">
        <v>49</v>
      </c>
      <c r="B27">
        <v>1522</v>
      </c>
      <c r="C27">
        <v>1386</v>
      </c>
      <c r="D27">
        <v>1.43</v>
      </c>
      <c r="E27">
        <v>0.42299999999999999</v>
      </c>
      <c r="F27" s="2">
        <f t="shared" si="16"/>
        <v>643.80599999999993</v>
      </c>
      <c r="G27" t="s">
        <v>11</v>
      </c>
      <c r="H27" s="20"/>
      <c r="I27" s="20"/>
      <c r="J27">
        <v>644</v>
      </c>
      <c r="K27">
        <v>1.43</v>
      </c>
      <c r="L27">
        <v>70.06</v>
      </c>
      <c r="M27">
        <v>14.75</v>
      </c>
      <c r="N27">
        <v>17.53</v>
      </c>
      <c r="O27">
        <v>3.69</v>
      </c>
      <c r="P27" s="75"/>
      <c r="Q27" s="27">
        <f t="shared" si="17"/>
        <v>64519.655200000001</v>
      </c>
      <c r="R27" s="27">
        <f t="shared" si="18"/>
        <v>13583.57</v>
      </c>
      <c r="S27" s="27">
        <f t="shared" si="19"/>
        <v>16143.7276</v>
      </c>
      <c r="T27" s="27">
        <f t="shared" si="20"/>
        <v>3398.1947999999998</v>
      </c>
      <c r="U27" s="75"/>
      <c r="V27" s="27">
        <f t="shared" si="21"/>
        <v>135.49127591999999</v>
      </c>
      <c r="W27" s="27">
        <f t="shared" si="22"/>
        <v>28.525496999999998</v>
      </c>
      <c r="X27" s="27">
        <f t="shared" si="22"/>
        <v>33.901827959999999</v>
      </c>
      <c r="Y27" s="27">
        <f t="shared" si="22"/>
        <v>7.1362090799999987</v>
      </c>
      <c r="Z27" s="75"/>
      <c r="AA27" s="27">
        <f xml:space="preserve"> Q27 - V27</f>
        <v>64384.16392408</v>
      </c>
      <c r="AB27" s="27">
        <f>R27 - W27</f>
        <v>13555.044502999999</v>
      </c>
      <c r="AC27" s="27">
        <f xml:space="preserve"> S27-X27</f>
        <v>16109.82577204</v>
      </c>
      <c r="AD27" s="27">
        <f xml:space="preserve"> T27 - Y27</f>
        <v>3391.0585909199999</v>
      </c>
      <c r="AE27">
        <v>0</v>
      </c>
      <c r="AF27" s="34">
        <f t="shared" si="23"/>
        <v>0</v>
      </c>
      <c r="AG27" s="34">
        <f t="shared" si="24"/>
        <v>1</v>
      </c>
      <c r="AH27" s="27">
        <f t="shared" si="25"/>
        <v>0</v>
      </c>
      <c r="AI27" s="27">
        <f t="shared" si="26"/>
        <v>0</v>
      </c>
      <c r="AJ27" s="27">
        <f t="shared" si="27"/>
        <v>0</v>
      </c>
      <c r="AK27" s="27">
        <f t="shared" si="28"/>
        <v>0</v>
      </c>
      <c r="AL27" s="75"/>
      <c r="AM27" s="27">
        <f t="shared" si="29"/>
        <v>64384.16392408</v>
      </c>
      <c r="AN27" s="27">
        <f t="shared" si="30"/>
        <v>13555.044502999999</v>
      </c>
      <c r="AO27" s="27">
        <f t="shared" si="31"/>
        <v>16109.82577204</v>
      </c>
      <c r="AP27" s="27">
        <f t="shared" si="32"/>
        <v>3391.0585909199999</v>
      </c>
      <c r="AQ27" s="75"/>
    </row>
    <row r="28" spans="1:47" x14ac:dyDescent="0.2">
      <c r="A28" s="3" t="s">
        <v>50</v>
      </c>
      <c r="B28">
        <v>1607</v>
      </c>
      <c r="C28">
        <v>1723</v>
      </c>
      <c r="D28">
        <v>0.67</v>
      </c>
      <c r="E28">
        <v>0.66</v>
      </c>
      <c r="F28" s="2">
        <f t="shared" si="16"/>
        <v>1060.6200000000001</v>
      </c>
      <c r="G28" t="s">
        <v>11</v>
      </c>
      <c r="H28" s="20"/>
      <c r="I28" s="20"/>
      <c r="J28">
        <v>1061</v>
      </c>
      <c r="K28">
        <v>0.67</v>
      </c>
      <c r="L28">
        <v>70.06</v>
      </c>
      <c r="M28">
        <v>14.75</v>
      </c>
      <c r="N28">
        <v>17.53</v>
      </c>
      <c r="O28">
        <v>3.69</v>
      </c>
      <c r="P28" s="75"/>
      <c r="Q28" s="27">
        <f t="shared" si="17"/>
        <v>49803.552200000006</v>
      </c>
      <c r="R28" s="27">
        <f t="shared" si="18"/>
        <v>10485.3325</v>
      </c>
      <c r="S28" s="27">
        <f t="shared" si="19"/>
        <v>12461.551100000001</v>
      </c>
      <c r="T28" s="27">
        <f t="shared" si="20"/>
        <v>2623.1102999999998</v>
      </c>
      <c r="U28" s="75"/>
      <c r="V28" s="27">
        <f t="shared" si="21"/>
        <v>104.58745962</v>
      </c>
      <c r="W28" s="27">
        <f t="shared" si="22"/>
        <v>22.019198249999999</v>
      </c>
      <c r="X28" s="27">
        <f t="shared" si="22"/>
        <v>26.169257309999999</v>
      </c>
      <c r="Y28" s="27">
        <f t="shared" si="22"/>
        <v>5.5085316299999993</v>
      </c>
      <c r="Z28" s="75"/>
      <c r="AA28" s="27">
        <f xml:space="preserve"> Q28 - V28</f>
        <v>49698.964740380005</v>
      </c>
      <c r="AB28" s="27">
        <f>R28 - W28</f>
        <v>10463.31330175</v>
      </c>
      <c r="AC28" s="27">
        <f xml:space="preserve"> S28-X28</f>
        <v>12435.38184269</v>
      </c>
      <c r="AD28" s="27">
        <f xml:space="preserve"> T28 - Y28</f>
        <v>2617.6017683699997</v>
      </c>
      <c r="AE28">
        <v>121</v>
      </c>
      <c r="AF28" s="34">
        <f t="shared" si="23"/>
        <v>1.3812785388127854E-2</v>
      </c>
      <c r="AG28" s="34">
        <f t="shared" si="24"/>
        <v>0.9861872146118722</v>
      </c>
      <c r="AH28" s="27">
        <f t="shared" si="25"/>
        <v>343.24056698550118</v>
      </c>
      <c r="AI28" s="27">
        <f t="shared" si="26"/>
        <v>72.263750542908113</v>
      </c>
      <c r="AJ28" s="27">
        <f t="shared" si="27"/>
        <v>85.88363030624943</v>
      </c>
      <c r="AK28" s="27">
        <f t="shared" si="28"/>
        <v>18.078185729039383</v>
      </c>
      <c r="AL28" s="75"/>
      <c r="AM28" s="27">
        <f t="shared" si="29"/>
        <v>49355.724173394505</v>
      </c>
      <c r="AN28" s="27">
        <f t="shared" si="30"/>
        <v>10391.049551207094</v>
      </c>
      <c r="AO28" s="27">
        <f t="shared" si="31"/>
        <v>12349.498212383751</v>
      </c>
      <c r="AP28" s="27">
        <f t="shared" si="32"/>
        <v>2599.5235826409607</v>
      </c>
      <c r="AQ28" s="75"/>
    </row>
    <row r="29" spans="1:47" x14ac:dyDescent="0.2">
      <c r="A29" s="3" t="s">
        <v>51</v>
      </c>
      <c r="B29">
        <v>1212</v>
      </c>
      <c r="C29">
        <v>741</v>
      </c>
      <c r="D29">
        <v>6.44</v>
      </c>
      <c r="E29">
        <v>0.95</v>
      </c>
      <c r="F29" s="2">
        <f t="shared" si="16"/>
        <v>1151.3999999999999</v>
      </c>
      <c r="G29" t="s">
        <v>11</v>
      </c>
      <c r="H29" s="20"/>
      <c r="I29" s="20"/>
      <c r="J29">
        <v>1151</v>
      </c>
      <c r="K29">
        <v>6.44</v>
      </c>
      <c r="L29">
        <v>70.06</v>
      </c>
      <c r="M29">
        <v>14.75</v>
      </c>
      <c r="N29">
        <v>17.53</v>
      </c>
      <c r="O29">
        <v>3.69</v>
      </c>
      <c r="P29" s="75"/>
      <c r="Q29" s="27">
        <f t="shared" si="17"/>
        <v>519315.54640000005</v>
      </c>
      <c r="R29" s="27">
        <f t="shared" si="18"/>
        <v>109333.49</v>
      </c>
      <c r="S29" s="27">
        <f t="shared" si="19"/>
        <v>129940.07320000001</v>
      </c>
      <c r="T29" s="27">
        <f t="shared" si="20"/>
        <v>27351.903600000001</v>
      </c>
      <c r="U29" s="75"/>
      <c r="V29" s="27">
        <f t="shared" si="21"/>
        <v>1090.5626474400001</v>
      </c>
      <c r="W29" s="27">
        <f t="shared" si="22"/>
        <v>229.60032899999999</v>
      </c>
      <c r="X29" s="27">
        <f t="shared" si="22"/>
        <v>272.87415372000004</v>
      </c>
      <c r="Y29" s="27">
        <f t="shared" si="22"/>
        <v>57.438997559999997</v>
      </c>
      <c r="Z29" s="75"/>
      <c r="AA29" s="27">
        <f xml:space="preserve"> Q29 - V29</f>
        <v>518224.98375256005</v>
      </c>
      <c r="AB29" s="27">
        <f>R29 - W29</f>
        <v>109103.88967100001</v>
      </c>
      <c r="AC29" s="27">
        <f xml:space="preserve"> S29-X29</f>
        <v>129667.19904628002</v>
      </c>
      <c r="AD29" s="27">
        <f xml:space="preserve"> T29 - Y29</f>
        <v>27294.464602440003</v>
      </c>
      <c r="AE29">
        <v>2</v>
      </c>
      <c r="AF29" s="34">
        <f t="shared" si="23"/>
        <v>2.2831050228310502E-4</v>
      </c>
      <c r="AG29" s="34">
        <f t="shared" si="24"/>
        <v>0.99977168949771689</v>
      </c>
      <c r="AH29" s="27">
        <f t="shared" si="25"/>
        <v>59.15810316810046</v>
      </c>
      <c r="AI29" s="27">
        <f t="shared" si="26"/>
        <v>12.454781925913244</v>
      </c>
      <c r="AJ29" s="27">
        <f t="shared" si="27"/>
        <v>14.802191671949773</v>
      </c>
      <c r="AK29" s="27">
        <f t="shared" si="28"/>
        <v>3.1158064614657537</v>
      </c>
      <c r="AL29" s="75"/>
      <c r="AM29" s="27">
        <f t="shared" si="29"/>
        <v>518165.82564939198</v>
      </c>
      <c r="AN29" s="27">
        <f t="shared" si="30"/>
        <v>109091.43488907409</v>
      </c>
      <c r="AO29" s="27">
        <f t="shared" si="31"/>
        <v>129652.39685460806</v>
      </c>
      <c r="AP29" s="27">
        <f t="shared" si="32"/>
        <v>27291.348795978534</v>
      </c>
      <c r="AQ29" s="75"/>
    </row>
    <row r="30" spans="1:47" x14ac:dyDescent="0.2">
      <c r="A30" s="3" t="s">
        <v>52</v>
      </c>
      <c r="B30">
        <v>1569</v>
      </c>
      <c r="C30">
        <v>87</v>
      </c>
      <c r="D30">
        <v>1.47</v>
      </c>
      <c r="E30">
        <v>0.21</v>
      </c>
      <c r="F30" s="2">
        <f t="shared" si="16"/>
        <v>329.49</v>
      </c>
      <c r="G30" t="s">
        <v>11</v>
      </c>
      <c r="H30" s="20"/>
      <c r="I30" s="20"/>
      <c r="J30">
        <v>329</v>
      </c>
      <c r="K30">
        <v>1.47</v>
      </c>
      <c r="L30">
        <v>70.06</v>
      </c>
      <c r="M30">
        <v>14.75</v>
      </c>
      <c r="N30">
        <v>17.53</v>
      </c>
      <c r="O30">
        <v>3.69</v>
      </c>
      <c r="P30" s="75"/>
      <c r="Q30" s="27">
        <f t="shared" si="17"/>
        <v>33883.1178</v>
      </c>
      <c r="R30" s="27">
        <f t="shared" si="18"/>
        <v>7133.5424999999996</v>
      </c>
      <c r="S30" s="27">
        <f t="shared" si="19"/>
        <v>8478.0339000000004</v>
      </c>
      <c r="T30" s="27">
        <f t="shared" si="20"/>
        <v>1784.5946999999999</v>
      </c>
      <c r="U30" s="75"/>
      <c r="V30" s="27">
        <f t="shared" si="21"/>
        <v>71.154547379999997</v>
      </c>
      <c r="W30" s="27">
        <f t="shared" si="22"/>
        <v>14.980439249999998</v>
      </c>
      <c r="X30" s="27">
        <f t="shared" si="22"/>
        <v>17.803871189999999</v>
      </c>
      <c r="Y30" s="27">
        <f t="shared" si="22"/>
        <v>3.7476488699999995</v>
      </c>
      <c r="Z30" s="75"/>
      <c r="AA30" s="27">
        <f xml:space="preserve"> Q30 - V30</f>
        <v>33811.96325262</v>
      </c>
      <c r="AB30" s="27">
        <f>R30 - W30</f>
        <v>7118.5620607499995</v>
      </c>
      <c r="AC30" s="27">
        <f xml:space="preserve"> S30-X30</f>
        <v>8460.2300288099996</v>
      </c>
      <c r="AD30" s="27">
        <f xml:space="preserve"> T30 - Y30</f>
        <v>1780.84705113</v>
      </c>
      <c r="AE30">
        <v>0</v>
      </c>
      <c r="AF30" s="34">
        <f t="shared" si="23"/>
        <v>0</v>
      </c>
      <c r="AG30" s="34">
        <f t="shared" si="24"/>
        <v>1</v>
      </c>
      <c r="AH30" s="27">
        <f t="shared" si="25"/>
        <v>0</v>
      </c>
      <c r="AI30" s="27">
        <f t="shared" si="26"/>
        <v>0</v>
      </c>
      <c r="AJ30" s="27">
        <f t="shared" si="27"/>
        <v>0</v>
      </c>
      <c r="AK30" s="27">
        <f t="shared" si="28"/>
        <v>0</v>
      </c>
      <c r="AL30" s="75"/>
      <c r="AM30" s="27">
        <f t="shared" si="29"/>
        <v>33811.96325262</v>
      </c>
      <c r="AN30" s="27">
        <f t="shared" si="30"/>
        <v>7118.5620607499995</v>
      </c>
      <c r="AO30" s="27">
        <f t="shared" si="31"/>
        <v>8460.2300288099996</v>
      </c>
      <c r="AP30" s="27">
        <f t="shared" si="32"/>
        <v>1780.84705113</v>
      </c>
      <c r="AQ30" s="75"/>
    </row>
    <row r="31" spans="1:47" x14ac:dyDescent="0.2">
      <c r="A31" s="3" t="s">
        <v>54</v>
      </c>
      <c r="B31">
        <v>1540</v>
      </c>
      <c r="C31">
        <v>570</v>
      </c>
      <c r="D31">
        <v>1.19</v>
      </c>
      <c r="E31">
        <v>0.15</v>
      </c>
      <c r="F31" s="2">
        <f t="shared" si="16"/>
        <v>231</v>
      </c>
      <c r="G31" t="s">
        <v>11</v>
      </c>
      <c r="H31" s="20"/>
      <c r="I31" s="20"/>
      <c r="J31">
        <v>231</v>
      </c>
      <c r="K31">
        <v>1.19</v>
      </c>
      <c r="L31">
        <v>70.06</v>
      </c>
      <c r="M31">
        <v>14.75</v>
      </c>
      <c r="N31">
        <v>17.53</v>
      </c>
      <c r="O31">
        <v>3.69</v>
      </c>
      <c r="P31" s="75"/>
      <c r="Q31" s="27">
        <f t="shared" si="17"/>
        <v>19258.793399999999</v>
      </c>
      <c r="R31" s="27">
        <f t="shared" si="18"/>
        <v>4054.6274999999996</v>
      </c>
      <c r="S31" s="27">
        <f t="shared" si="19"/>
        <v>4818.8217000000004</v>
      </c>
      <c r="T31" s="27">
        <f t="shared" si="20"/>
        <v>1014.3440999999999</v>
      </c>
      <c r="U31" s="75"/>
      <c r="V31" s="27">
        <f t="shared" si="21"/>
        <v>40.443466139999998</v>
      </c>
      <c r="W31" s="27">
        <f t="shared" si="22"/>
        <v>8.5147177499999991</v>
      </c>
      <c r="X31" s="27">
        <f t="shared" si="22"/>
        <v>10.11952557</v>
      </c>
      <c r="Y31" s="27">
        <f t="shared" si="22"/>
        <v>2.1301226099999995</v>
      </c>
      <c r="Z31" s="75"/>
      <c r="AA31" s="27">
        <f xml:space="preserve"> Q31 - V31</f>
        <v>19218.349933859998</v>
      </c>
      <c r="AB31" s="27">
        <f>R31 - W31</f>
        <v>4046.1127822499998</v>
      </c>
      <c r="AC31" s="27">
        <f xml:space="preserve"> S31-X31</f>
        <v>4808.70217443</v>
      </c>
      <c r="AD31" s="27">
        <f xml:space="preserve"> T31 - Y31</f>
        <v>1012.21397739</v>
      </c>
      <c r="AE31">
        <v>19</v>
      </c>
      <c r="AF31" s="34">
        <f t="shared" si="23"/>
        <v>2.1689497716894978E-3</v>
      </c>
      <c r="AG31" s="34">
        <f t="shared" si="24"/>
        <v>0.99783105022831053</v>
      </c>
      <c r="AH31" s="27">
        <f t="shared" si="25"/>
        <v>20.84181785064726</v>
      </c>
      <c r="AI31" s="27">
        <f t="shared" si="26"/>
        <v>4.3879076976455478</v>
      </c>
      <c r="AJ31" s="27">
        <f t="shared" si="27"/>
        <v>5.2149167416763698</v>
      </c>
      <c r="AK31" s="27">
        <f t="shared" si="28"/>
        <v>1.0977206375804796</v>
      </c>
      <c r="AL31" s="75"/>
      <c r="AM31" s="27">
        <f t="shared" si="29"/>
        <v>19197.50811600935</v>
      </c>
      <c r="AN31" s="27">
        <f t="shared" si="30"/>
        <v>4041.7248745523543</v>
      </c>
      <c r="AO31" s="27">
        <f t="shared" si="31"/>
        <v>4803.4872576883236</v>
      </c>
      <c r="AP31" s="27">
        <f t="shared" si="32"/>
        <v>1011.1162567524195</v>
      </c>
      <c r="AQ31" s="75"/>
    </row>
    <row r="32" spans="1:47" x14ac:dyDescent="0.2">
      <c r="A32" s="3" t="s">
        <v>55</v>
      </c>
      <c r="B32">
        <v>1512</v>
      </c>
      <c r="C32">
        <v>1053</v>
      </c>
      <c r="D32">
        <v>0.46</v>
      </c>
      <c r="E32">
        <v>0.1</v>
      </c>
      <c r="F32" s="2">
        <f t="shared" si="16"/>
        <v>151.20000000000002</v>
      </c>
      <c r="G32" t="s">
        <v>11</v>
      </c>
      <c r="H32" s="20"/>
      <c r="I32" s="20"/>
      <c r="J32">
        <v>151</v>
      </c>
      <c r="K32">
        <v>0.46</v>
      </c>
      <c r="L32">
        <v>70.06</v>
      </c>
      <c r="M32">
        <v>14.75</v>
      </c>
      <c r="N32">
        <v>17.53</v>
      </c>
      <c r="O32">
        <v>3.69</v>
      </c>
      <c r="P32" s="75"/>
      <c r="Q32" s="27">
        <f t="shared" si="17"/>
        <v>4866.3676000000005</v>
      </c>
      <c r="R32" s="27">
        <f t="shared" si="18"/>
        <v>1024.5350000000001</v>
      </c>
      <c r="S32" s="27">
        <f t="shared" si="19"/>
        <v>1217.6338000000003</v>
      </c>
      <c r="T32" s="27">
        <f t="shared" si="20"/>
        <v>256.30740000000003</v>
      </c>
      <c r="U32" s="75"/>
      <c r="V32" s="27">
        <f t="shared" si="21"/>
        <v>10.21937196</v>
      </c>
      <c r="W32" s="27">
        <f t="shared" si="22"/>
        <v>2.1515235000000001</v>
      </c>
      <c r="X32" s="27">
        <f t="shared" si="22"/>
        <v>2.5570309800000004</v>
      </c>
      <c r="Y32" s="27">
        <f t="shared" si="22"/>
        <v>0.53824554000000002</v>
      </c>
      <c r="Z32" s="75"/>
      <c r="AA32" s="27">
        <f xml:space="preserve"> Q32 - V32</f>
        <v>4856.1482280400005</v>
      </c>
      <c r="AB32" s="27">
        <f>R32 - W32</f>
        <v>1022.3834765</v>
      </c>
      <c r="AC32" s="27">
        <f xml:space="preserve"> S32-X32</f>
        <v>1215.0767690200003</v>
      </c>
      <c r="AD32" s="27">
        <f xml:space="preserve"> T32 - Y32</f>
        <v>255.76915446000004</v>
      </c>
      <c r="AE32">
        <v>11</v>
      </c>
      <c r="AF32" s="34">
        <f t="shared" si="23"/>
        <v>1.2557077625570776E-3</v>
      </c>
      <c r="AG32" s="34">
        <f t="shared" si="24"/>
        <v>0.99874429223744288</v>
      </c>
      <c r="AH32" s="27">
        <f t="shared" si="25"/>
        <v>3.048951513038813</v>
      </c>
      <c r="AI32" s="27">
        <f t="shared" si="26"/>
        <v>0.64190743387557081</v>
      </c>
      <c r="AJ32" s="27">
        <f t="shared" si="27"/>
        <v>0.7628906654805937</v>
      </c>
      <c r="AK32" s="27">
        <f t="shared" si="28"/>
        <v>0.16058565633904112</v>
      </c>
      <c r="AL32" s="75"/>
      <c r="AM32" s="27">
        <f t="shared" si="29"/>
        <v>4853.0992765269611</v>
      </c>
      <c r="AN32" s="27">
        <f t="shared" si="30"/>
        <v>1021.7415690661244</v>
      </c>
      <c r="AO32" s="27">
        <f t="shared" si="31"/>
        <v>1214.3138783545196</v>
      </c>
      <c r="AP32" s="27">
        <f t="shared" si="32"/>
        <v>255.60856880366097</v>
      </c>
      <c r="AQ32" s="75"/>
    </row>
    <row r="33" spans="1:43" x14ac:dyDescent="0.2">
      <c r="A33" s="3" t="s">
        <v>56</v>
      </c>
      <c r="B33">
        <v>1568</v>
      </c>
      <c r="C33">
        <v>87</v>
      </c>
      <c r="D33">
        <v>0.66</v>
      </c>
      <c r="E33">
        <v>0.05</v>
      </c>
      <c r="F33" s="2">
        <f t="shared" si="16"/>
        <v>78.400000000000006</v>
      </c>
      <c r="G33" t="s">
        <v>11</v>
      </c>
      <c r="H33" s="20"/>
      <c r="I33" s="20"/>
      <c r="J33">
        <v>78</v>
      </c>
      <c r="K33">
        <v>0.66</v>
      </c>
      <c r="L33">
        <v>70.06</v>
      </c>
      <c r="M33">
        <v>14.75</v>
      </c>
      <c r="N33">
        <v>17.53</v>
      </c>
      <c r="O33">
        <v>3.69</v>
      </c>
      <c r="P33" s="75"/>
      <c r="Q33" s="27">
        <f t="shared" si="17"/>
        <v>3606.6888000000004</v>
      </c>
      <c r="R33" s="27">
        <f t="shared" si="18"/>
        <v>759.33</v>
      </c>
      <c r="S33" s="27">
        <f t="shared" si="19"/>
        <v>902.44440000000009</v>
      </c>
      <c r="T33" s="27">
        <f t="shared" si="20"/>
        <v>189.96120000000002</v>
      </c>
      <c r="U33" s="75"/>
      <c r="V33" s="27">
        <f t="shared" si="21"/>
        <v>7.5740464800000007</v>
      </c>
      <c r="W33" s="27">
        <f t="shared" si="22"/>
        <v>1.5945929999999999</v>
      </c>
      <c r="X33" s="27">
        <f t="shared" si="22"/>
        <v>1.8951332400000001</v>
      </c>
      <c r="Y33" s="27">
        <f t="shared" si="22"/>
        <v>0.39891852</v>
      </c>
      <c r="Z33" s="75"/>
      <c r="AA33" s="27">
        <f xml:space="preserve"> Q33 - V33</f>
        <v>3599.1147535200002</v>
      </c>
      <c r="AB33" s="27">
        <f>R33 - W33</f>
        <v>757.73540700000001</v>
      </c>
      <c r="AC33" s="27">
        <f xml:space="preserve"> S33-X33</f>
        <v>900.54926676000014</v>
      </c>
      <c r="AD33" s="27">
        <f xml:space="preserve"> T33 - Y33</f>
        <v>189.56228148000002</v>
      </c>
      <c r="AE33">
        <v>112</v>
      </c>
      <c r="AF33" s="34">
        <f t="shared" si="23"/>
        <v>1.2785388127853882E-2</v>
      </c>
      <c r="AG33" s="34">
        <f t="shared" si="24"/>
        <v>0.9872146118721461</v>
      </c>
      <c r="AH33" s="27">
        <f t="shared" si="25"/>
        <v>23.008039520219182</v>
      </c>
      <c r="AI33" s="27">
        <f t="shared" si="26"/>
        <v>4.8439706383561649</v>
      </c>
      <c r="AJ33" s="27">
        <f t="shared" si="27"/>
        <v>5.7569359518904122</v>
      </c>
      <c r="AK33" s="27">
        <f t="shared" si="28"/>
        <v>1.2118136715616441</v>
      </c>
      <c r="AL33" s="75"/>
      <c r="AM33" s="27">
        <f t="shared" si="29"/>
        <v>3576.1067139997808</v>
      </c>
      <c r="AN33" s="27">
        <f t="shared" si="30"/>
        <v>752.89143636164385</v>
      </c>
      <c r="AO33" s="27">
        <f t="shared" si="31"/>
        <v>894.7923308081098</v>
      </c>
      <c r="AP33" s="27">
        <f t="shared" si="32"/>
        <v>188.3504678084384</v>
      </c>
      <c r="AQ33" s="75"/>
    </row>
    <row r="34" spans="1:43" x14ac:dyDescent="0.2">
      <c r="A34" s="3" t="s">
        <v>53</v>
      </c>
      <c r="B34">
        <v>1540</v>
      </c>
      <c r="C34">
        <v>570</v>
      </c>
      <c r="D34">
        <v>1.23</v>
      </c>
      <c r="E34">
        <v>0.12</v>
      </c>
      <c r="F34" s="2">
        <f t="shared" si="16"/>
        <v>184.79999999999998</v>
      </c>
      <c r="G34" t="s">
        <v>11</v>
      </c>
      <c r="H34" s="20"/>
      <c r="I34" s="20"/>
      <c r="J34">
        <v>185</v>
      </c>
      <c r="K34">
        <v>1.23</v>
      </c>
      <c r="L34">
        <v>70.06</v>
      </c>
      <c r="M34">
        <v>14.75</v>
      </c>
      <c r="N34">
        <v>17.53</v>
      </c>
      <c r="O34">
        <v>3.69</v>
      </c>
      <c r="P34" s="75"/>
      <c r="Q34" s="27">
        <f t="shared" si="17"/>
        <v>15942.152999999998</v>
      </c>
      <c r="R34" s="27">
        <f t="shared" si="18"/>
        <v>3356.3624999999997</v>
      </c>
      <c r="S34" s="27">
        <f t="shared" si="19"/>
        <v>3988.9515000000001</v>
      </c>
      <c r="T34" s="27">
        <f t="shared" si="20"/>
        <v>839.65949999999998</v>
      </c>
      <c r="U34" s="75"/>
      <c r="V34" s="27">
        <f t="shared" si="21"/>
        <v>33.478521299999997</v>
      </c>
      <c r="W34" s="27">
        <f t="shared" si="22"/>
        <v>7.0483612499999992</v>
      </c>
      <c r="X34" s="27">
        <f t="shared" si="22"/>
        <v>8.3767981499999991</v>
      </c>
      <c r="Y34" s="27">
        <f t="shared" si="22"/>
        <v>1.7632849499999999</v>
      </c>
      <c r="Z34" s="75"/>
      <c r="AA34" s="27">
        <f xml:space="preserve"> Q34 - V34</f>
        <v>15908.674478699999</v>
      </c>
      <c r="AB34" s="27">
        <f>R34 - W34</f>
        <v>3349.3141387499995</v>
      </c>
      <c r="AC34" s="27">
        <f xml:space="preserve"> S34-X34</f>
        <v>3980.5747018500001</v>
      </c>
      <c r="AD34" s="27">
        <f xml:space="preserve"> T34 - Y34</f>
        <v>837.89621505000002</v>
      </c>
      <c r="AE34">
        <v>24</v>
      </c>
      <c r="AF34" s="34">
        <f t="shared" si="23"/>
        <v>2.7397260273972603E-3</v>
      </c>
      <c r="AG34" s="34">
        <f t="shared" si="24"/>
        <v>0.99726027397260275</v>
      </c>
      <c r="AH34" s="27">
        <f t="shared" si="25"/>
        <v>21.792704765342464</v>
      </c>
      <c r="AI34" s="27">
        <f t="shared" si="26"/>
        <v>4.5881015599315065</v>
      </c>
      <c r="AJ34" s="27">
        <f t="shared" si="27"/>
        <v>5.452842057328767</v>
      </c>
      <c r="AK34" s="27">
        <f t="shared" si="28"/>
        <v>1.1478030343150685</v>
      </c>
      <c r="AL34" s="75"/>
      <c r="AM34" s="27">
        <f t="shared" si="29"/>
        <v>15886.881773934658</v>
      </c>
      <c r="AN34" s="27">
        <f t="shared" si="30"/>
        <v>3344.7260371900684</v>
      </c>
      <c r="AO34" s="27">
        <f t="shared" si="31"/>
        <v>3975.1218597926713</v>
      </c>
      <c r="AP34" s="27">
        <f t="shared" si="32"/>
        <v>836.74841201568495</v>
      </c>
      <c r="AQ34" s="75"/>
    </row>
    <row r="35" spans="1:43" x14ac:dyDescent="0.2">
      <c r="A35" s="3" t="s">
        <v>57</v>
      </c>
      <c r="B35">
        <v>1927</v>
      </c>
      <c r="C35">
        <v>748</v>
      </c>
      <c r="D35">
        <v>1.35</v>
      </c>
      <c r="E35">
        <v>0.2</v>
      </c>
      <c r="F35" s="2">
        <f t="shared" si="16"/>
        <v>385.40000000000003</v>
      </c>
      <c r="G35" t="s">
        <v>11</v>
      </c>
      <c r="H35" s="20"/>
      <c r="I35" s="20"/>
      <c r="J35">
        <v>385</v>
      </c>
      <c r="K35">
        <v>1.35</v>
      </c>
      <c r="L35">
        <v>70.06</v>
      </c>
      <c r="M35">
        <v>14.75</v>
      </c>
      <c r="N35">
        <v>17.53</v>
      </c>
      <c r="O35">
        <v>3.69</v>
      </c>
      <c r="P35" s="75"/>
      <c r="Q35" s="27">
        <f t="shared" si="17"/>
        <v>36413.684999999998</v>
      </c>
      <c r="R35" s="27">
        <f t="shared" si="18"/>
        <v>7666.3125</v>
      </c>
      <c r="S35" s="27">
        <f t="shared" si="19"/>
        <v>9111.2175000000007</v>
      </c>
      <c r="T35" s="27">
        <f t="shared" si="20"/>
        <v>1917.8775000000001</v>
      </c>
      <c r="U35" s="75"/>
      <c r="V35" s="27">
        <f t="shared" si="21"/>
        <v>76.468738499999986</v>
      </c>
      <c r="W35" s="27">
        <f t="shared" si="22"/>
        <v>16.09925625</v>
      </c>
      <c r="X35" s="27">
        <f t="shared" si="22"/>
        <v>19.13355675</v>
      </c>
      <c r="Y35" s="27">
        <f t="shared" si="22"/>
        <v>4.0275427500000003</v>
      </c>
      <c r="Z35" s="75"/>
      <c r="AA35" s="27">
        <f xml:space="preserve"> Q35 - V35</f>
        <v>36337.216261499998</v>
      </c>
      <c r="AB35" s="27">
        <f>R35 - W35</f>
        <v>7650.2132437500004</v>
      </c>
      <c r="AC35" s="27">
        <f xml:space="preserve"> S35-X35</f>
        <v>9092.0839432500015</v>
      </c>
      <c r="AD35" s="27">
        <f xml:space="preserve"> T35 - Y35</f>
        <v>1913.84995725</v>
      </c>
      <c r="AE35">
        <v>288</v>
      </c>
      <c r="AF35" s="34">
        <f t="shared" si="23"/>
        <v>3.287671232876712E-2</v>
      </c>
      <c r="AG35" s="34">
        <f t="shared" si="24"/>
        <v>0.9671232876712329</v>
      </c>
      <c r="AH35" s="27">
        <f t="shared" si="25"/>
        <v>597.32410292876705</v>
      </c>
      <c r="AI35" s="27">
        <f t="shared" si="26"/>
        <v>125.75693003424657</v>
      </c>
      <c r="AJ35" s="27">
        <f t="shared" si="27"/>
        <v>149.45891413561645</v>
      </c>
      <c r="AK35" s="27">
        <f t="shared" si="28"/>
        <v>31.460547242465751</v>
      </c>
      <c r="AL35" s="75"/>
      <c r="AM35" s="27">
        <f t="shared" si="29"/>
        <v>35739.892158571231</v>
      </c>
      <c r="AN35" s="27">
        <f t="shared" si="30"/>
        <v>7524.4563137157538</v>
      </c>
      <c r="AO35" s="27">
        <f t="shared" si="31"/>
        <v>8942.6250291143861</v>
      </c>
      <c r="AP35" s="27">
        <f t="shared" si="32"/>
        <v>1882.3894100075343</v>
      </c>
      <c r="AQ35" s="75"/>
    </row>
    <row r="36" spans="1:43" x14ac:dyDescent="0.2">
      <c r="A36" s="3" t="s">
        <v>73</v>
      </c>
      <c r="B36">
        <v>1764</v>
      </c>
      <c r="C36">
        <v>1055</v>
      </c>
      <c r="D36">
        <v>0.98</v>
      </c>
      <c r="E36">
        <v>0.5</v>
      </c>
      <c r="F36" s="2">
        <f t="shared" si="16"/>
        <v>882</v>
      </c>
      <c r="G36" t="s">
        <v>11</v>
      </c>
      <c r="H36" s="20"/>
      <c r="I36" s="20"/>
      <c r="J36">
        <v>882</v>
      </c>
      <c r="K36">
        <v>0.98</v>
      </c>
      <c r="L36">
        <v>70.06</v>
      </c>
      <c r="M36">
        <v>14.75</v>
      </c>
      <c r="N36">
        <v>17.53</v>
      </c>
      <c r="O36">
        <v>3.69</v>
      </c>
      <c r="P36" s="75"/>
      <c r="Q36" s="27">
        <f t="shared" si="17"/>
        <v>60557.061600000001</v>
      </c>
      <c r="R36" s="27">
        <f t="shared" si="18"/>
        <v>12749.31</v>
      </c>
      <c r="S36" s="27">
        <f t="shared" si="19"/>
        <v>15152.230800000001</v>
      </c>
      <c r="T36" s="27">
        <f t="shared" si="20"/>
        <v>3189.4884000000002</v>
      </c>
      <c r="U36" s="75"/>
      <c r="V36" s="27">
        <f t="shared" si="21"/>
        <v>127.16982935999999</v>
      </c>
      <c r="W36" s="27">
        <f t="shared" si="22"/>
        <v>26.773550999999998</v>
      </c>
      <c r="X36" s="27">
        <f t="shared" si="22"/>
        <v>31.819684680000002</v>
      </c>
      <c r="Y36" s="27">
        <f t="shared" si="22"/>
        <v>6.6979256400000002</v>
      </c>
      <c r="Z36" s="75"/>
      <c r="AA36" s="27">
        <f xml:space="preserve"> Q36 - V36</f>
        <v>60429.891770640003</v>
      </c>
      <c r="AB36" s="27">
        <f>R36 - W36</f>
        <v>12722.536448999999</v>
      </c>
      <c r="AC36" s="27">
        <f xml:space="preserve"> S36-X36</f>
        <v>15120.411115320001</v>
      </c>
      <c r="AD36" s="27">
        <f xml:space="preserve"> T36 - Y36</f>
        <v>3182.7904743600002</v>
      </c>
      <c r="AE36">
        <v>43</v>
      </c>
      <c r="AF36" s="34">
        <f t="shared" ref="AF36:AF50" si="33">$AE36/8760</f>
        <v>4.9086757990867581E-3</v>
      </c>
      <c r="AG36" s="34">
        <f t="shared" ref="AG36:AG50" si="34">1- AF36</f>
        <v>0.99509132420091329</v>
      </c>
      <c r="AH36" s="27">
        <f t="shared" ref="AH36:AH50" si="35" xml:space="preserve"> AA36 * AF36 / 2</f>
        <v>148.31537363798631</v>
      </c>
      <c r="AI36" s="27">
        <f t="shared" ref="AI36:AI50" si="36" xml:space="preserve"> AB36 * AF36 / 2</f>
        <v>31.225403385102737</v>
      </c>
      <c r="AJ36" s="27">
        <f t="shared" ref="AJ36:AJ50" si="37" xml:space="preserve"> AC36 * AF36 /2</f>
        <v>37.110598057006854</v>
      </c>
      <c r="AK36" s="27">
        <f t="shared" ref="AK36:AK50" si="38" xml:space="preserve"> AD36 *AF36 /2</f>
        <v>7.8116432875273976</v>
      </c>
      <c r="AL36" s="75"/>
      <c r="AM36" s="27">
        <f t="shared" si="29"/>
        <v>60281.576397002013</v>
      </c>
      <c r="AN36" s="27">
        <f t="shared" ref="AN36:AN50" si="39" xml:space="preserve"> AB36 * AG36 + AI36</f>
        <v>12691.311045614897</v>
      </c>
      <c r="AO36" s="27">
        <f t="shared" ref="AO36:AO50" si="40" xml:space="preserve"> AC36 * AG36 + AJ36</f>
        <v>15083.300517262995</v>
      </c>
      <c r="AP36" s="27">
        <f t="shared" ref="AP36:AP50" si="41" xml:space="preserve"> AD36 * AG36 + AK36</f>
        <v>3174.9788310724725</v>
      </c>
      <c r="AQ36" s="75"/>
    </row>
    <row r="37" spans="1:43" x14ac:dyDescent="0.2">
      <c r="A37" s="3" t="s">
        <v>59</v>
      </c>
      <c r="B37">
        <v>1648</v>
      </c>
      <c r="C37">
        <v>2043</v>
      </c>
      <c r="D37">
        <v>0.85</v>
      </c>
      <c r="F37" s="2">
        <f>B37*D37</f>
        <v>1400.8</v>
      </c>
      <c r="G37" t="s">
        <v>126</v>
      </c>
      <c r="H37" s="20"/>
      <c r="I37" s="20"/>
      <c r="J37">
        <v>1401</v>
      </c>
      <c r="K37">
        <v>0.85</v>
      </c>
      <c r="L37">
        <v>70.06</v>
      </c>
      <c r="M37">
        <v>14.75</v>
      </c>
      <c r="N37">
        <v>17.53</v>
      </c>
      <c r="O37">
        <v>3.69</v>
      </c>
      <c r="P37" s="75"/>
      <c r="Q37" s="27">
        <f t="shared" si="17"/>
        <v>83430.951000000001</v>
      </c>
      <c r="R37" s="27">
        <f t="shared" si="18"/>
        <v>17565.037499999999</v>
      </c>
      <c r="S37" s="27">
        <f t="shared" si="19"/>
        <v>20875.6005</v>
      </c>
      <c r="T37" s="27">
        <f t="shared" si="20"/>
        <v>4394.2365</v>
      </c>
      <c r="U37" s="75"/>
      <c r="V37" s="27">
        <f t="shared" si="21"/>
        <v>175.20499709999999</v>
      </c>
      <c r="W37" s="27">
        <f t="shared" si="22"/>
        <v>36.886578749999998</v>
      </c>
      <c r="X37" s="27">
        <f t="shared" si="22"/>
        <v>43.838761049999995</v>
      </c>
      <c r="Y37" s="27">
        <f t="shared" si="22"/>
        <v>9.2278966499999999</v>
      </c>
      <c r="Z37" s="75"/>
      <c r="AA37" s="27">
        <f xml:space="preserve"> Q37 - V37</f>
        <v>83255.746002900007</v>
      </c>
      <c r="AB37" s="27">
        <f>R37 - W37</f>
        <v>17528.150921249999</v>
      </c>
      <c r="AC37" s="27">
        <f xml:space="preserve"> S37-X37</f>
        <v>20831.761738950001</v>
      </c>
      <c r="AD37" s="27">
        <f xml:space="preserve"> T37 - Y37</f>
        <v>4385.0086033500002</v>
      </c>
      <c r="AE37">
        <v>207</v>
      </c>
      <c r="AF37" s="34">
        <f t="shared" si="33"/>
        <v>2.363013698630137E-2</v>
      </c>
      <c r="AG37" s="34">
        <f t="shared" si="34"/>
        <v>0.97636986301369866</v>
      </c>
      <c r="AH37" s="27">
        <f t="shared" si="35"/>
        <v>983.67234147261991</v>
      </c>
      <c r="AI37" s="27">
        <f t="shared" si="36"/>
        <v>207.09630369285102</v>
      </c>
      <c r="AJ37" s="27">
        <f t="shared" si="37"/>
        <v>246.12869177869007</v>
      </c>
      <c r="AK37" s="27">
        <f t="shared" si="38"/>
        <v>51.809176991635276</v>
      </c>
      <c r="AL37" s="75"/>
      <c r="AM37" s="27">
        <f t="shared" si="29"/>
        <v>82272.073661427377</v>
      </c>
      <c r="AN37" s="27">
        <f t="shared" si="39"/>
        <v>17321.054617557147</v>
      </c>
      <c r="AO37" s="27">
        <f t="shared" si="40"/>
        <v>20585.633047171312</v>
      </c>
      <c r="AP37" s="27">
        <f t="shared" si="41"/>
        <v>4333.1994263583656</v>
      </c>
      <c r="AQ37" s="75"/>
    </row>
    <row r="38" spans="1:43" x14ac:dyDescent="0.2">
      <c r="A38" s="3" t="s">
        <v>60</v>
      </c>
      <c r="B38">
        <v>1503</v>
      </c>
      <c r="C38">
        <v>3031</v>
      </c>
      <c r="D38">
        <v>0.21</v>
      </c>
      <c r="F38" s="2">
        <f>B38*D38</f>
        <v>315.63</v>
      </c>
      <c r="G38" t="s">
        <v>16</v>
      </c>
      <c r="H38" s="20"/>
      <c r="I38" s="20"/>
      <c r="J38">
        <v>316</v>
      </c>
      <c r="K38">
        <v>0.21</v>
      </c>
      <c r="L38">
        <v>70.06</v>
      </c>
      <c r="M38">
        <v>14.75</v>
      </c>
      <c r="N38">
        <v>17.53</v>
      </c>
      <c r="O38">
        <v>3.69</v>
      </c>
      <c r="P38" s="75"/>
      <c r="Q38" s="27">
        <f t="shared" si="17"/>
        <v>4649.1815999999999</v>
      </c>
      <c r="R38" s="27">
        <f t="shared" si="18"/>
        <v>978.81</v>
      </c>
      <c r="S38" s="27">
        <f t="shared" si="19"/>
        <v>1163.2908</v>
      </c>
      <c r="T38" s="27">
        <f t="shared" si="20"/>
        <v>244.86840000000001</v>
      </c>
      <c r="U38" s="75"/>
      <c r="V38" s="27">
        <f t="shared" si="21"/>
        <v>9.7632813599999988</v>
      </c>
      <c r="W38" s="27">
        <f t="shared" si="22"/>
        <v>2.0555009999999996</v>
      </c>
      <c r="X38" s="27">
        <f t="shared" si="22"/>
        <v>2.4429106799999998</v>
      </c>
      <c r="Y38" s="27">
        <f t="shared" si="22"/>
        <v>0.51422363999999998</v>
      </c>
      <c r="Z38" s="75"/>
      <c r="AA38" s="27">
        <f xml:space="preserve"> Q38 - V38</f>
        <v>4639.4183186399996</v>
      </c>
      <c r="AB38" s="27">
        <f>R38 - W38</f>
        <v>976.7544989999999</v>
      </c>
      <c r="AC38" s="27">
        <f xml:space="preserve"> S38-X38</f>
        <v>1160.8478893199999</v>
      </c>
      <c r="AD38" s="27">
        <f xml:space="preserve"> T38 - Y38</f>
        <v>244.35417636</v>
      </c>
      <c r="AE38">
        <v>315</v>
      </c>
      <c r="AF38" s="34">
        <f t="shared" si="33"/>
        <v>3.5958904109589039E-2</v>
      </c>
      <c r="AG38" s="34">
        <f t="shared" si="34"/>
        <v>0.96404109589041098</v>
      </c>
      <c r="AH38" s="27">
        <f t="shared" si="35"/>
        <v>83.414199222123273</v>
      </c>
      <c r="AI38" s="27">
        <f t="shared" si="36"/>
        <v>17.561510684075341</v>
      </c>
      <c r="AJ38" s="27">
        <f t="shared" si="37"/>
        <v>20.871408968938354</v>
      </c>
      <c r="AK38" s="27">
        <f t="shared" si="38"/>
        <v>4.3933541982534248</v>
      </c>
      <c r="AL38" s="75"/>
      <c r="AM38" s="27">
        <f t="shared" si="29"/>
        <v>4556.0041194178757</v>
      </c>
      <c r="AN38" s="27">
        <f t="shared" si="39"/>
        <v>959.19298831592459</v>
      </c>
      <c r="AO38" s="27">
        <f t="shared" si="40"/>
        <v>1139.9764803510616</v>
      </c>
      <c r="AP38" s="27">
        <f t="shared" si="41"/>
        <v>239.96082216174659</v>
      </c>
      <c r="AQ38" s="75"/>
    </row>
    <row r="39" spans="1:43" x14ac:dyDescent="0.2">
      <c r="A39" s="3" t="s">
        <v>61</v>
      </c>
      <c r="B39">
        <v>1913</v>
      </c>
      <c r="C39">
        <v>1266</v>
      </c>
      <c r="D39">
        <v>3.65</v>
      </c>
      <c r="E39">
        <v>1.59</v>
      </c>
      <c r="F39" s="2">
        <f t="shared" ref="F39:F50" si="42">B39*E39</f>
        <v>3041.67</v>
      </c>
      <c r="G39" t="s">
        <v>11</v>
      </c>
      <c r="H39" s="20"/>
      <c r="I39" s="20"/>
      <c r="J39">
        <v>3042</v>
      </c>
      <c r="K39">
        <v>1.59</v>
      </c>
      <c r="L39">
        <v>70.06</v>
      </c>
      <c r="M39">
        <v>14.75</v>
      </c>
      <c r="N39">
        <v>17.53</v>
      </c>
      <c r="O39">
        <v>3.69</v>
      </c>
      <c r="P39" s="75"/>
      <c r="Q39" s="27">
        <f t="shared" si="17"/>
        <v>338864.80680000008</v>
      </c>
      <c r="R39" s="27">
        <f t="shared" si="18"/>
        <v>71342.505000000005</v>
      </c>
      <c r="S39" s="27">
        <f t="shared" si="19"/>
        <v>84788.753400000016</v>
      </c>
      <c r="T39" s="27">
        <f t="shared" si="20"/>
        <v>17847.718200000003</v>
      </c>
      <c r="U39" s="75"/>
      <c r="V39" s="27">
        <f t="shared" si="21"/>
        <v>711.61609428000008</v>
      </c>
      <c r="W39" s="27">
        <f t="shared" si="22"/>
        <v>149.81926050000001</v>
      </c>
      <c r="X39" s="27">
        <f t="shared" si="22"/>
        <v>178.05638214000001</v>
      </c>
      <c r="Y39" s="27">
        <f t="shared" si="22"/>
        <v>37.480208220000002</v>
      </c>
      <c r="Z39" s="75"/>
      <c r="AA39" s="27">
        <f xml:space="preserve"> Q39 - V39</f>
        <v>338153.1907057201</v>
      </c>
      <c r="AB39" s="27">
        <f>R39 - W39</f>
        <v>71192.685739500012</v>
      </c>
      <c r="AC39" s="27">
        <f xml:space="preserve"> S39-X39</f>
        <v>84610.697017860017</v>
      </c>
      <c r="AD39" s="27">
        <f xml:space="preserve"> T39 - Y39</f>
        <v>17810.237991780003</v>
      </c>
      <c r="AE39">
        <v>114</v>
      </c>
      <c r="AF39" s="34">
        <f t="shared" si="33"/>
        <v>1.3013698630136987E-2</v>
      </c>
      <c r="AG39" s="34">
        <f t="shared" si="34"/>
        <v>0.98698630136986298</v>
      </c>
      <c r="AH39" s="27">
        <f t="shared" si="35"/>
        <v>2200.3118573317406</v>
      </c>
      <c r="AI39" s="27">
        <f t="shared" si="36"/>
        <v>463.24007844195216</v>
      </c>
      <c r="AJ39" s="27">
        <f t="shared" si="37"/>
        <v>550.54905593813021</v>
      </c>
      <c r="AK39" s="27">
        <f t="shared" si="38"/>
        <v>115.88853487802056</v>
      </c>
      <c r="AL39" s="75"/>
      <c r="AM39" s="27">
        <f t="shared" si="29"/>
        <v>335952.87884838833</v>
      </c>
      <c r="AN39" s="27">
        <f t="shared" si="39"/>
        <v>70729.445661058067</v>
      </c>
      <c r="AO39" s="27">
        <f t="shared" si="40"/>
        <v>84060.147961921888</v>
      </c>
      <c r="AP39" s="27">
        <f t="shared" si="41"/>
        <v>17694.349456901982</v>
      </c>
      <c r="AQ39" s="75"/>
    </row>
    <row r="40" spans="1:43" x14ac:dyDescent="0.2">
      <c r="A40" s="3" t="s">
        <v>62</v>
      </c>
      <c r="B40">
        <v>1890</v>
      </c>
      <c r="C40">
        <v>1398</v>
      </c>
      <c r="D40">
        <v>0.62</v>
      </c>
      <c r="E40">
        <v>0.55000000000000004</v>
      </c>
      <c r="F40" s="2">
        <f t="shared" si="42"/>
        <v>1039.5</v>
      </c>
      <c r="G40" t="s">
        <v>11</v>
      </c>
      <c r="H40" s="20"/>
      <c r="I40" s="20"/>
      <c r="J40">
        <v>1040</v>
      </c>
      <c r="K40">
        <v>0.55000000000000004</v>
      </c>
      <c r="L40">
        <v>70.06</v>
      </c>
      <c r="M40">
        <v>14.75</v>
      </c>
      <c r="N40">
        <v>17.53</v>
      </c>
      <c r="O40">
        <v>3.69</v>
      </c>
      <c r="P40" s="75"/>
      <c r="Q40" s="27">
        <f t="shared" si="17"/>
        <v>40074.32</v>
      </c>
      <c r="R40" s="27">
        <f t="shared" si="18"/>
        <v>8437</v>
      </c>
      <c r="S40" s="27">
        <f t="shared" si="19"/>
        <v>10027.16</v>
      </c>
      <c r="T40" s="27">
        <f t="shared" si="20"/>
        <v>2110.6799999999998</v>
      </c>
      <c r="U40" s="75"/>
      <c r="V40" s="27">
        <f t="shared" si="21"/>
        <v>84.156071999999995</v>
      </c>
      <c r="W40" s="27">
        <f t="shared" si="22"/>
        <v>17.717700000000001</v>
      </c>
      <c r="X40" s="27">
        <f t="shared" si="22"/>
        <v>21.057036</v>
      </c>
      <c r="Y40" s="27">
        <f t="shared" si="22"/>
        <v>4.4324279999999998</v>
      </c>
      <c r="Z40" s="75"/>
      <c r="AA40" s="27">
        <f xml:space="preserve"> Q40 - V40</f>
        <v>39990.163928000002</v>
      </c>
      <c r="AB40" s="27">
        <f>R40 - W40</f>
        <v>8419.2823000000008</v>
      </c>
      <c r="AC40" s="27">
        <f xml:space="preserve"> S40-X40</f>
        <v>10006.102964</v>
      </c>
      <c r="AD40" s="27">
        <f xml:space="preserve"> T40 - Y40</f>
        <v>2106.2475719999998</v>
      </c>
      <c r="AE40">
        <v>147</v>
      </c>
      <c r="AF40" s="34">
        <f t="shared" si="33"/>
        <v>1.678082191780822E-2</v>
      </c>
      <c r="AG40" s="34">
        <f t="shared" si="34"/>
        <v>0.98321917808219172</v>
      </c>
      <c r="AH40" s="27">
        <f t="shared" si="35"/>
        <v>335.53390966986302</v>
      </c>
      <c r="AI40" s="27">
        <f t="shared" si="36"/>
        <v>70.641238476027411</v>
      </c>
      <c r="AJ40" s="27">
        <f t="shared" si="37"/>
        <v>83.955315965068493</v>
      </c>
      <c r="AK40" s="27">
        <f t="shared" si="38"/>
        <v>17.672282710273972</v>
      </c>
      <c r="AL40" s="75"/>
      <c r="AM40" s="27">
        <f t="shared" si="29"/>
        <v>39654.630018330143</v>
      </c>
      <c r="AN40" s="27">
        <f t="shared" si="39"/>
        <v>8348.6410615239729</v>
      </c>
      <c r="AO40" s="27">
        <f t="shared" si="40"/>
        <v>9922.1476480349302</v>
      </c>
      <c r="AP40" s="27">
        <f t="shared" si="41"/>
        <v>2088.5752892897258</v>
      </c>
      <c r="AQ40" s="75"/>
    </row>
    <row r="41" spans="1:43" x14ac:dyDescent="0.2">
      <c r="A41" s="3" t="s">
        <v>63</v>
      </c>
      <c r="B41">
        <v>1776</v>
      </c>
      <c r="C41">
        <v>1568</v>
      </c>
      <c r="D41">
        <v>2.66</v>
      </c>
      <c r="E41">
        <v>1.78</v>
      </c>
      <c r="F41" s="2">
        <f t="shared" si="42"/>
        <v>3161.28</v>
      </c>
      <c r="G41" t="s">
        <v>11</v>
      </c>
      <c r="H41" s="20"/>
      <c r="I41" s="20"/>
      <c r="J41">
        <v>3161</v>
      </c>
      <c r="K41">
        <v>1.78</v>
      </c>
      <c r="L41">
        <v>70.06</v>
      </c>
      <c r="M41">
        <v>14.75</v>
      </c>
      <c r="N41">
        <v>17.53</v>
      </c>
      <c r="O41">
        <v>3.69</v>
      </c>
      <c r="P41" s="75"/>
      <c r="Q41" s="27">
        <f t="shared" si="17"/>
        <v>394198.1948</v>
      </c>
      <c r="R41" s="27">
        <f t="shared" si="18"/>
        <v>82992.054999999993</v>
      </c>
      <c r="S41" s="27">
        <f t="shared" si="19"/>
        <v>98633.947400000005</v>
      </c>
      <c r="T41" s="27">
        <f t="shared" si="20"/>
        <v>20762.0802</v>
      </c>
      <c r="U41" s="75"/>
      <c r="V41" s="27">
        <f t="shared" si="21"/>
        <v>827.81620907999991</v>
      </c>
      <c r="W41" s="27">
        <f t="shared" si="22"/>
        <v>174.28331549999999</v>
      </c>
      <c r="X41" s="27">
        <f t="shared" si="22"/>
        <v>207.13128953999998</v>
      </c>
      <c r="Y41" s="27">
        <f t="shared" si="22"/>
        <v>43.600368419999995</v>
      </c>
      <c r="Z41" s="75"/>
      <c r="AA41" s="27">
        <f xml:space="preserve"> Q41 - V41</f>
        <v>393370.37859092001</v>
      </c>
      <c r="AB41" s="27">
        <f>R41 - W41</f>
        <v>82817.771684499996</v>
      </c>
      <c r="AC41" s="27">
        <f xml:space="preserve"> S41-X41</f>
        <v>98426.81611046</v>
      </c>
      <c r="AD41" s="27">
        <f xml:space="preserve"> T41 - Y41</f>
        <v>20718.47983158</v>
      </c>
      <c r="AE41">
        <v>8</v>
      </c>
      <c r="AF41" s="34">
        <f t="shared" si="33"/>
        <v>9.1324200913242006E-4</v>
      </c>
      <c r="AG41" s="34">
        <f t="shared" si="34"/>
        <v>0.99908675799086755</v>
      </c>
      <c r="AH41" s="27">
        <f t="shared" si="35"/>
        <v>179.62117743877624</v>
      </c>
      <c r="AI41" s="27">
        <f t="shared" si="36"/>
        <v>37.816334102511412</v>
      </c>
      <c r="AJ41" s="27">
        <f t="shared" si="37"/>
        <v>44.943751648611872</v>
      </c>
      <c r="AK41" s="27">
        <f t="shared" si="38"/>
        <v>9.460493073780821</v>
      </c>
      <c r="AL41" s="75"/>
      <c r="AM41" s="27">
        <f t="shared" si="29"/>
        <v>393190.75741348119</v>
      </c>
      <c r="AN41" s="27">
        <f t="shared" si="39"/>
        <v>82779.955350397475</v>
      </c>
      <c r="AO41" s="27">
        <f t="shared" si="40"/>
        <v>98381.872358811379</v>
      </c>
      <c r="AP41" s="27">
        <f t="shared" si="41"/>
        <v>20709.019338506219</v>
      </c>
      <c r="AQ41" s="75"/>
    </row>
    <row r="42" spans="1:43" x14ac:dyDescent="0.2">
      <c r="A42" s="3" t="s">
        <v>64</v>
      </c>
      <c r="B42">
        <v>1755</v>
      </c>
      <c r="C42">
        <v>4018</v>
      </c>
      <c r="D42">
        <v>1.21</v>
      </c>
      <c r="E42">
        <v>1</v>
      </c>
      <c r="F42" s="2">
        <f t="shared" si="42"/>
        <v>1755</v>
      </c>
      <c r="G42" t="s">
        <v>11</v>
      </c>
      <c r="H42" s="20"/>
      <c r="I42" s="20"/>
      <c r="J42">
        <v>1755</v>
      </c>
      <c r="K42">
        <v>1</v>
      </c>
      <c r="L42">
        <v>70.06</v>
      </c>
      <c r="M42">
        <v>14.75</v>
      </c>
      <c r="N42">
        <v>17.53</v>
      </c>
      <c r="O42">
        <v>3.69</v>
      </c>
      <c r="P42" s="75"/>
      <c r="Q42" s="27">
        <f t="shared" si="17"/>
        <v>122955.3</v>
      </c>
      <c r="R42" s="27">
        <f t="shared" si="18"/>
        <v>25886.25</v>
      </c>
      <c r="S42" s="27">
        <f t="shared" si="19"/>
        <v>30765.15</v>
      </c>
      <c r="T42" s="27">
        <f t="shared" si="20"/>
        <v>6475.95</v>
      </c>
      <c r="U42" s="75"/>
      <c r="V42" s="27">
        <f t="shared" si="21"/>
        <v>258.20612999999997</v>
      </c>
      <c r="W42" s="27">
        <f t="shared" si="22"/>
        <v>54.361124999999994</v>
      </c>
      <c r="X42" s="27">
        <f t="shared" si="22"/>
        <v>64.606814999999997</v>
      </c>
      <c r="Y42" s="27">
        <f t="shared" si="22"/>
        <v>13.599494999999999</v>
      </c>
      <c r="Z42" s="75"/>
      <c r="AA42" s="27">
        <f xml:space="preserve"> Q42 - V42</f>
        <v>122697.09387</v>
      </c>
      <c r="AB42" s="27">
        <f>R42 - W42</f>
        <v>25831.888875000001</v>
      </c>
      <c r="AC42" s="27">
        <f xml:space="preserve"> S42-X42</f>
        <v>30700.543185000002</v>
      </c>
      <c r="AD42" s="27">
        <f xml:space="preserve"> T42 - Y42</f>
        <v>6462.3505049999994</v>
      </c>
      <c r="AE42">
        <v>158</v>
      </c>
      <c r="AF42" s="34">
        <f t="shared" si="33"/>
        <v>1.8036529680365298E-2</v>
      </c>
      <c r="AG42" s="34">
        <f t="shared" si="34"/>
        <v>0.98196347031963471</v>
      </c>
      <c r="AH42" s="27">
        <f t="shared" si="35"/>
        <v>1106.514887640411</v>
      </c>
      <c r="AI42" s="27">
        <f t="shared" si="36"/>
        <v>232.95881519691784</v>
      </c>
      <c r="AJ42" s="27">
        <f t="shared" si="37"/>
        <v>276.86562917979455</v>
      </c>
      <c r="AK42" s="27">
        <f t="shared" si="38"/>
        <v>58.279188344178081</v>
      </c>
      <c r="AL42" s="75"/>
      <c r="AM42" s="27">
        <f t="shared" si="29"/>
        <v>121590.57898235958</v>
      </c>
      <c r="AN42" s="27">
        <f t="shared" si="39"/>
        <v>25598.930059803082</v>
      </c>
      <c r="AO42" s="27">
        <f t="shared" si="40"/>
        <v>30423.67755582021</v>
      </c>
      <c r="AP42" s="27">
        <f t="shared" si="41"/>
        <v>6404.0713166558207</v>
      </c>
      <c r="AQ42" s="75"/>
    </row>
    <row r="43" spans="1:43" x14ac:dyDescent="0.2">
      <c r="A43" s="3" t="s">
        <v>65</v>
      </c>
      <c r="B43">
        <v>1894</v>
      </c>
      <c r="C43">
        <v>4029</v>
      </c>
      <c r="D43">
        <v>2.13</v>
      </c>
      <c r="E43">
        <v>1.1599999999999999</v>
      </c>
      <c r="F43" s="2">
        <f t="shared" si="42"/>
        <v>2197.04</v>
      </c>
      <c r="G43" t="s">
        <v>11</v>
      </c>
      <c r="H43" s="20"/>
      <c r="I43" s="20"/>
      <c r="J43">
        <v>2197</v>
      </c>
      <c r="K43">
        <v>1.1599999999999999</v>
      </c>
      <c r="L43">
        <v>70.06</v>
      </c>
      <c r="M43">
        <v>14.75</v>
      </c>
      <c r="N43">
        <v>17.53</v>
      </c>
      <c r="O43">
        <v>3.69</v>
      </c>
      <c r="P43" s="75"/>
      <c r="Q43" s="27">
        <f t="shared" si="17"/>
        <v>178549.3112</v>
      </c>
      <c r="R43" s="27">
        <f t="shared" si="18"/>
        <v>37590.67</v>
      </c>
      <c r="S43" s="27">
        <f t="shared" si="19"/>
        <v>44675.5556</v>
      </c>
      <c r="T43" s="27">
        <f t="shared" si="20"/>
        <v>9404.0388000000003</v>
      </c>
      <c r="U43" s="75"/>
      <c r="V43" s="27">
        <f t="shared" si="21"/>
        <v>374.95355351999996</v>
      </c>
      <c r="W43" s="27">
        <f t="shared" si="22"/>
        <v>78.940406999999993</v>
      </c>
      <c r="X43" s="27">
        <f t="shared" si="22"/>
        <v>93.818666759999999</v>
      </c>
      <c r="Y43" s="27">
        <f t="shared" si="22"/>
        <v>19.748481479999999</v>
      </c>
      <c r="Z43" s="75"/>
      <c r="AA43" s="27">
        <f xml:space="preserve"> Q43 - V43</f>
        <v>178174.35764648</v>
      </c>
      <c r="AB43" s="27">
        <f>R43 - W43</f>
        <v>37511.729592999996</v>
      </c>
      <c r="AC43" s="27">
        <f xml:space="preserve"> S43-X43</f>
        <v>44581.736933239998</v>
      </c>
      <c r="AD43" s="27">
        <f xml:space="preserve"> T43 - Y43</f>
        <v>9384.2903185200012</v>
      </c>
      <c r="AE43">
        <v>584</v>
      </c>
      <c r="AF43" s="34">
        <f t="shared" si="33"/>
        <v>6.6666666666666666E-2</v>
      </c>
      <c r="AG43" s="34">
        <f t="shared" si="34"/>
        <v>0.93333333333333335</v>
      </c>
      <c r="AH43" s="27">
        <f t="shared" si="35"/>
        <v>5939.1452548826664</v>
      </c>
      <c r="AI43" s="27">
        <f t="shared" si="36"/>
        <v>1250.3909864333332</v>
      </c>
      <c r="AJ43" s="27">
        <f t="shared" si="37"/>
        <v>1486.0578977746666</v>
      </c>
      <c r="AK43" s="27">
        <f t="shared" si="38"/>
        <v>312.80967728400003</v>
      </c>
      <c r="AL43" s="75"/>
      <c r="AM43" s="27">
        <f t="shared" si="29"/>
        <v>172235.21239159734</v>
      </c>
      <c r="AN43" s="27">
        <f t="shared" si="39"/>
        <v>36261.338606566664</v>
      </c>
      <c r="AO43" s="27">
        <f t="shared" si="40"/>
        <v>43095.679035465335</v>
      </c>
      <c r="AP43" s="27">
        <f t="shared" si="41"/>
        <v>9071.4806412360012</v>
      </c>
      <c r="AQ43" s="75"/>
    </row>
    <row r="44" spans="1:43" x14ac:dyDescent="0.2">
      <c r="A44" s="3" t="s">
        <v>66</v>
      </c>
      <c r="B44">
        <v>1656</v>
      </c>
      <c r="C44">
        <v>957</v>
      </c>
      <c r="D44">
        <v>2.15</v>
      </c>
      <c r="E44">
        <v>1</v>
      </c>
      <c r="F44" s="2">
        <f t="shared" si="42"/>
        <v>1656</v>
      </c>
      <c r="G44" t="s">
        <v>11</v>
      </c>
      <c r="H44" s="20"/>
      <c r="I44" s="20"/>
      <c r="J44">
        <v>1656</v>
      </c>
      <c r="K44">
        <v>1</v>
      </c>
      <c r="L44">
        <v>70.06</v>
      </c>
      <c r="M44">
        <v>14.75</v>
      </c>
      <c r="N44">
        <v>17.53</v>
      </c>
      <c r="O44">
        <v>3.69</v>
      </c>
      <c r="P44" s="75"/>
      <c r="Q44" s="27">
        <f t="shared" si="17"/>
        <v>116019.36</v>
      </c>
      <c r="R44" s="27">
        <f t="shared" si="18"/>
        <v>24426</v>
      </c>
      <c r="S44" s="27">
        <f t="shared" si="19"/>
        <v>29029.68</v>
      </c>
      <c r="T44" s="27">
        <f t="shared" si="20"/>
        <v>6110.64</v>
      </c>
      <c r="U44" s="75"/>
      <c r="V44" s="27">
        <f t="shared" si="21"/>
        <v>243.64065599999998</v>
      </c>
      <c r="W44" s="27">
        <f t="shared" si="22"/>
        <v>51.294599999999996</v>
      </c>
      <c r="X44" s="27">
        <f t="shared" si="22"/>
        <v>60.962327999999999</v>
      </c>
      <c r="Y44" s="27">
        <f t="shared" si="22"/>
        <v>12.832343999999999</v>
      </c>
      <c r="Z44" s="75"/>
      <c r="AA44" s="27">
        <f xml:space="preserve"> Q44 - V44</f>
        <v>115775.719344</v>
      </c>
      <c r="AB44" s="27">
        <f>R44 - W44</f>
        <v>24374.705399999999</v>
      </c>
      <c r="AC44" s="27">
        <f xml:space="preserve"> S44-X44</f>
        <v>28968.717671999999</v>
      </c>
      <c r="AD44" s="27">
        <f xml:space="preserve"> T44 - Y44</f>
        <v>6097.807656</v>
      </c>
      <c r="AE44">
        <v>0</v>
      </c>
      <c r="AF44" s="34">
        <f t="shared" si="33"/>
        <v>0</v>
      </c>
      <c r="AG44" s="34">
        <f t="shared" si="34"/>
        <v>1</v>
      </c>
      <c r="AH44" s="27">
        <f t="shared" si="35"/>
        <v>0</v>
      </c>
      <c r="AI44" s="27">
        <f t="shared" si="36"/>
        <v>0</v>
      </c>
      <c r="AJ44" s="27">
        <f t="shared" si="37"/>
        <v>0</v>
      </c>
      <c r="AK44" s="27">
        <f t="shared" si="38"/>
        <v>0</v>
      </c>
      <c r="AL44" s="75"/>
      <c r="AM44" s="27">
        <f t="shared" si="29"/>
        <v>115775.719344</v>
      </c>
      <c r="AN44" s="27">
        <f t="shared" si="39"/>
        <v>24374.705399999999</v>
      </c>
      <c r="AO44" s="27">
        <f t="shared" si="40"/>
        <v>28968.717671999999</v>
      </c>
      <c r="AP44" s="27">
        <f t="shared" si="41"/>
        <v>6097.807656</v>
      </c>
      <c r="AQ44" s="75"/>
    </row>
    <row r="45" spans="1:43" x14ac:dyDescent="0.2">
      <c r="A45" s="3" t="s">
        <v>67</v>
      </c>
      <c r="B45">
        <v>1299</v>
      </c>
      <c r="C45">
        <v>6774</v>
      </c>
      <c r="D45">
        <v>0.09</v>
      </c>
      <c r="E45">
        <v>0.13</v>
      </c>
      <c r="F45" s="2">
        <f t="shared" si="42"/>
        <v>168.87</v>
      </c>
      <c r="G45" t="s">
        <v>11</v>
      </c>
      <c r="H45" s="20"/>
      <c r="I45" s="20"/>
      <c r="J45">
        <v>169</v>
      </c>
      <c r="K45">
        <v>0.13</v>
      </c>
      <c r="L45">
        <v>70.06</v>
      </c>
      <c r="M45">
        <v>14.75</v>
      </c>
      <c r="N45">
        <v>17.53</v>
      </c>
      <c r="O45">
        <v>3.69</v>
      </c>
      <c r="P45" s="75"/>
      <c r="Q45" s="27">
        <f t="shared" si="17"/>
        <v>1539.2182000000003</v>
      </c>
      <c r="R45" s="27">
        <f t="shared" si="18"/>
        <v>324.05750000000006</v>
      </c>
      <c r="S45" s="27">
        <f t="shared" si="19"/>
        <v>385.13410000000005</v>
      </c>
      <c r="T45" s="27">
        <f t="shared" si="20"/>
        <v>81.069300000000013</v>
      </c>
      <c r="U45" s="75"/>
      <c r="V45" s="27">
        <f t="shared" si="21"/>
        <v>3.2323582200000005</v>
      </c>
      <c r="W45" s="27">
        <f t="shared" si="22"/>
        <v>0.68052075000000012</v>
      </c>
      <c r="X45" s="27">
        <f t="shared" si="22"/>
        <v>0.80878161000000004</v>
      </c>
      <c r="Y45" s="27">
        <f t="shared" si="22"/>
        <v>0.17024553000000001</v>
      </c>
      <c r="Z45" s="75"/>
      <c r="AA45" s="27">
        <f xml:space="preserve"> Q45 - V45</f>
        <v>1535.9858417800003</v>
      </c>
      <c r="AB45" s="27">
        <f>R45 - W45</f>
        <v>323.37697925000003</v>
      </c>
      <c r="AC45" s="27">
        <f xml:space="preserve"> S45-X45</f>
        <v>384.32531839000006</v>
      </c>
      <c r="AD45" s="27">
        <f xml:space="preserve"> T45 - Y45</f>
        <v>80.89905447000001</v>
      </c>
      <c r="AE45">
        <v>320</v>
      </c>
      <c r="AF45" s="34">
        <f t="shared" si="33"/>
        <v>3.6529680365296802E-2</v>
      </c>
      <c r="AG45" s="34">
        <f t="shared" si="34"/>
        <v>0.9634703196347032</v>
      </c>
      <c r="AH45" s="27">
        <f t="shared" si="35"/>
        <v>28.05453592292238</v>
      </c>
      <c r="AI45" s="27">
        <f t="shared" si="36"/>
        <v>5.9064288447488584</v>
      </c>
      <c r="AJ45" s="27">
        <f t="shared" si="37"/>
        <v>7.0196405185388135</v>
      </c>
      <c r="AK45" s="27">
        <f t="shared" si="38"/>
        <v>1.4776083008219179</v>
      </c>
      <c r="AL45" s="75"/>
      <c r="AM45" s="27">
        <f t="shared" si="29"/>
        <v>1507.9313058570781</v>
      </c>
      <c r="AN45" s="27">
        <f t="shared" si="39"/>
        <v>317.47055040525117</v>
      </c>
      <c r="AO45" s="27">
        <f t="shared" si="40"/>
        <v>377.30567787146128</v>
      </c>
      <c r="AP45" s="27">
        <f t="shared" si="41"/>
        <v>79.421446169178083</v>
      </c>
      <c r="AQ45" s="75"/>
    </row>
    <row r="46" spans="1:43" x14ac:dyDescent="0.2">
      <c r="A46" s="3" t="s">
        <v>68</v>
      </c>
      <c r="B46">
        <v>1300</v>
      </c>
      <c r="C46">
        <v>6063</v>
      </c>
      <c r="D46">
        <v>0.17</v>
      </c>
      <c r="E46">
        <v>0.18</v>
      </c>
      <c r="F46" s="2">
        <f t="shared" si="42"/>
        <v>234</v>
      </c>
      <c r="G46" t="s">
        <v>11</v>
      </c>
      <c r="H46" s="20"/>
      <c r="I46" s="20"/>
      <c r="J46">
        <v>234</v>
      </c>
      <c r="K46">
        <v>0.18</v>
      </c>
      <c r="L46">
        <v>70.06</v>
      </c>
      <c r="M46">
        <v>14.75</v>
      </c>
      <c r="N46">
        <v>17.53</v>
      </c>
      <c r="O46">
        <v>3.69</v>
      </c>
      <c r="P46" s="75"/>
      <c r="Q46" s="27">
        <f t="shared" si="17"/>
        <v>2950.9272000000001</v>
      </c>
      <c r="R46" s="27">
        <f t="shared" si="18"/>
        <v>621.27</v>
      </c>
      <c r="S46" s="27">
        <f t="shared" si="19"/>
        <v>738.36360000000002</v>
      </c>
      <c r="T46" s="27">
        <f t="shared" si="20"/>
        <v>155.4228</v>
      </c>
      <c r="U46" s="75"/>
      <c r="V46" s="27">
        <f t="shared" si="21"/>
        <v>6.1969471199999999</v>
      </c>
      <c r="W46" s="27">
        <f t="shared" si="22"/>
        <v>1.3046669999999998</v>
      </c>
      <c r="X46" s="27">
        <f t="shared" si="22"/>
        <v>1.5505635599999998</v>
      </c>
      <c r="Y46" s="27">
        <f t="shared" si="22"/>
        <v>0.32638787999999996</v>
      </c>
      <c r="Z46" s="75"/>
      <c r="AA46" s="27">
        <f xml:space="preserve"> Q46 - V46</f>
        <v>2944.7302528800001</v>
      </c>
      <c r="AB46" s="27">
        <f>R46 - W46</f>
        <v>619.96533299999999</v>
      </c>
      <c r="AC46" s="27">
        <f xml:space="preserve"> S46-X46</f>
        <v>736.81303644000002</v>
      </c>
      <c r="AD46" s="27">
        <f xml:space="preserve"> T46 - Y46</f>
        <v>155.09641212</v>
      </c>
      <c r="AE46">
        <v>2</v>
      </c>
      <c r="AF46" s="34">
        <f t="shared" si="33"/>
        <v>2.2831050228310502E-4</v>
      </c>
      <c r="AG46" s="34">
        <f t="shared" si="34"/>
        <v>0.99977168949771689</v>
      </c>
      <c r="AH46" s="27">
        <f t="shared" si="35"/>
        <v>0.33615642156164383</v>
      </c>
      <c r="AI46" s="27">
        <f t="shared" si="36"/>
        <v>7.0772298287671231E-2</v>
      </c>
      <c r="AJ46" s="27">
        <f t="shared" si="37"/>
        <v>8.4111077219178085E-2</v>
      </c>
      <c r="AK46" s="27">
        <f t="shared" si="38"/>
        <v>1.7705069876712328E-2</v>
      </c>
      <c r="AL46" s="75"/>
      <c r="AM46" s="27">
        <f t="shared" si="29"/>
        <v>2944.3940964584385</v>
      </c>
      <c r="AN46" s="27">
        <f t="shared" si="39"/>
        <v>619.89456070171229</v>
      </c>
      <c r="AO46" s="27">
        <f t="shared" si="40"/>
        <v>736.72892536278084</v>
      </c>
      <c r="AP46" s="27">
        <f t="shared" si="41"/>
        <v>155.07870705012328</v>
      </c>
      <c r="AQ46" s="75"/>
    </row>
    <row r="47" spans="1:43" x14ac:dyDescent="0.2">
      <c r="A47" s="3" t="s">
        <v>69</v>
      </c>
      <c r="B47">
        <v>1811</v>
      </c>
      <c r="C47">
        <v>1137</v>
      </c>
      <c r="D47">
        <v>0.16</v>
      </c>
      <c r="E47">
        <v>0.4</v>
      </c>
      <c r="F47" s="2">
        <f t="shared" si="42"/>
        <v>724.40000000000009</v>
      </c>
      <c r="G47" t="s">
        <v>11</v>
      </c>
      <c r="H47" s="20"/>
      <c r="I47" s="20"/>
      <c r="J47">
        <v>724</v>
      </c>
      <c r="K47">
        <v>0.4</v>
      </c>
      <c r="L47">
        <v>70.06</v>
      </c>
      <c r="M47">
        <v>14.75</v>
      </c>
      <c r="N47">
        <v>17.53</v>
      </c>
      <c r="O47">
        <v>3.69</v>
      </c>
      <c r="P47" s="75"/>
      <c r="Q47" s="27">
        <f t="shared" si="17"/>
        <v>20289.376000000004</v>
      </c>
      <c r="R47" s="27">
        <f t="shared" si="18"/>
        <v>4271.6000000000004</v>
      </c>
      <c r="S47" s="27">
        <f t="shared" si="19"/>
        <v>5076.688000000001</v>
      </c>
      <c r="T47" s="27">
        <f t="shared" si="20"/>
        <v>1068.624</v>
      </c>
      <c r="U47" s="75"/>
      <c r="V47" s="27">
        <f t="shared" si="21"/>
        <v>42.607689600000008</v>
      </c>
      <c r="W47" s="27">
        <f t="shared" si="22"/>
        <v>8.9703599999999994</v>
      </c>
      <c r="X47" s="27">
        <f t="shared" si="22"/>
        <v>10.661044800000001</v>
      </c>
      <c r="Y47" s="27">
        <f t="shared" si="22"/>
        <v>2.2441103999999998</v>
      </c>
      <c r="Z47" s="75"/>
      <c r="AA47" s="27">
        <f xml:space="preserve"> Q47 - V47</f>
        <v>20246.768310400003</v>
      </c>
      <c r="AB47" s="27">
        <f>R47 - W47</f>
        <v>4262.6296400000001</v>
      </c>
      <c r="AC47" s="27">
        <f xml:space="preserve"> S47-X47</f>
        <v>5066.0269552000009</v>
      </c>
      <c r="AD47" s="27">
        <f xml:space="preserve"> T47 - Y47</f>
        <v>1066.3798896000001</v>
      </c>
      <c r="AE47">
        <v>0</v>
      </c>
      <c r="AF47" s="34">
        <f t="shared" si="33"/>
        <v>0</v>
      </c>
      <c r="AG47" s="34">
        <f t="shared" si="34"/>
        <v>1</v>
      </c>
      <c r="AH47" s="27">
        <f t="shared" si="35"/>
        <v>0</v>
      </c>
      <c r="AI47" s="27">
        <f t="shared" si="36"/>
        <v>0</v>
      </c>
      <c r="AJ47" s="27">
        <f t="shared" si="37"/>
        <v>0</v>
      </c>
      <c r="AK47" s="27">
        <f t="shared" si="38"/>
        <v>0</v>
      </c>
      <c r="AL47" s="75"/>
      <c r="AM47" s="27">
        <f t="shared" si="29"/>
        <v>20246.768310400003</v>
      </c>
      <c r="AN47" s="27">
        <f t="shared" si="39"/>
        <v>4262.6296400000001</v>
      </c>
      <c r="AO47" s="27">
        <f t="shared" si="40"/>
        <v>5066.0269552000009</v>
      </c>
      <c r="AP47" s="27">
        <f t="shared" si="41"/>
        <v>1066.3798896000001</v>
      </c>
      <c r="AQ47" s="75"/>
    </row>
    <row r="48" spans="1:43" x14ac:dyDescent="0.2">
      <c r="A48" s="3" t="s">
        <v>70</v>
      </c>
      <c r="B48">
        <v>1685</v>
      </c>
      <c r="C48">
        <v>1450</v>
      </c>
      <c r="D48">
        <v>0.06</v>
      </c>
      <c r="E48">
        <v>0.1</v>
      </c>
      <c r="F48" s="2">
        <f t="shared" si="42"/>
        <v>168.5</v>
      </c>
      <c r="G48" t="s">
        <v>11</v>
      </c>
      <c r="H48" s="20"/>
      <c r="I48" s="20"/>
      <c r="J48">
        <v>169</v>
      </c>
      <c r="K48">
        <v>0.1</v>
      </c>
      <c r="L48">
        <v>70.06</v>
      </c>
      <c r="M48">
        <v>14.75</v>
      </c>
      <c r="N48">
        <v>17.53</v>
      </c>
      <c r="O48">
        <v>3.69</v>
      </c>
      <c r="P48" s="75"/>
      <c r="Q48" s="27">
        <f t="shared" si="17"/>
        <v>1184.0140000000001</v>
      </c>
      <c r="R48" s="27">
        <f t="shared" si="18"/>
        <v>249.27500000000003</v>
      </c>
      <c r="S48" s="27">
        <f t="shared" si="19"/>
        <v>296.25700000000006</v>
      </c>
      <c r="T48" s="27">
        <f t="shared" si="20"/>
        <v>62.361000000000004</v>
      </c>
      <c r="U48" s="75"/>
      <c r="V48" s="27">
        <f t="shared" si="21"/>
        <v>2.4864294</v>
      </c>
      <c r="W48" s="27">
        <f t="shared" si="22"/>
        <v>0.52347750000000004</v>
      </c>
      <c r="X48" s="27">
        <f t="shared" si="22"/>
        <v>0.62213970000000007</v>
      </c>
      <c r="Y48" s="27">
        <f t="shared" si="22"/>
        <v>0.13095809999999999</v>
      </c>
      <c r="Z48" s="75"/>
      <c r="AA48" s="27">
        <f xml:space="preserve"> Q48 - V48</f>
        <v>1181.5275706000002</v>
      </c>
      <c r="AB48" s="27">
        <f>R48 - W48</f>
        <v>248.75152250000002</v>
      </c>
      <c r="AC48" s="27">
        <f xml:space="preserve"> S48-X48</f>
        <v>295.63486030000007</v>
      </c>
      <c r="AD48" s="27">
        <f xml:space="preserve"> T48 - Y48</f>
        <v>62.230041900000003</v>
      </c>
      <c r="AE48">
        <v>0</v>
      </c>
      <c r="AF48" s="34">
        <f t="shared" si="33"/>
        <v>0</v>
      </c>
      <c r="AG48" s="34">
        <f t="shared" si="34"/>
        <v>1</v>
      </c>
      <c r="AH48" s="27">
        <f t="shared" si="35"/>
        <v>0</v>
      </c>
      <c r="AI48" s="27">
        <f t="shared" si="36"/>
        <v>0</v>
      </c>
      <c r="AJ48" s="27">
        <f t="shared" si="37"/>
        <v>0</v>
      </c>
      <c r="AK48" s="27">
        <f t="shared" si="38"/>
        <v>0</v>
      </c>
      <c r="AL48" s="75"/>
      <c r="AM48" s="27">
        <f t="shared" si="29"/>
        <v>1181.5275706000002</v>
      </c>
      <c r="AN48" s="27">
        <f t="shared" si="39"/>
        <v>248.75152250000002</v>
      </c>
      <c r="AO48" s="27">
        <f t="shared" si="40"/>
        <v>295.63486030000007</v>
      </c>
      <c r="AP48" s="27">
        <f t="shared" si="41"/>
        <v>62.230041900000003</v>
      </c>
      <c r="AQ48" s="75"/>
    </row>
    <row r="49" spans="1:43" x14ac:dyDescent="0.2">
      <c r="A49" s="3" t="s">
        <v>71</v>
      </c>
      <c r="B49">
        <v>1693</v>
      </c>
      <c r="C49">
        <v>1035</v>
      </c>
      <c r="D49">
        <v>1.42</v>
      </c>
      <c r="E49">
        <v>1.1499999999999999</v>
      </c>
      <c r="F49" s="2">
        <f t="shared" si="42"/>
        <v>1946.9499999999998</v>
      </c>
      <c r="G49" t="s">
        <v>11</v>
      </c>
      <c r="H49" s="20"/>
      <c r="I49" s="20"/>
      <c r="J49">
        <v>1947</v>
      </c>
      <c r="K49">
        <v>1.1499999999999999</v>
      </c>
      <c r="L49">
        <v>70.06</v>
      </c>
      <c r="M49">
        <v>14.75</v>
      </c>
      <c r="N49">
        <v>17.53</v>
      </c>
      <c r="O49">
        <v>3.69</v>
      </c>
      <c r="P49" s="75"/>
      <c r="Q49" s="27">
        <f t="shared" si="17"/>
        <v>156867.84299999999</v>
      </c>
      <c r="R49" s="27">
        <f t="shared" si="18"/>
        <v>33025.987499999996</v>
      </c>
      <c r="S49" s="27">
        <f t="shared" si="19"/>
        <v>39250.546499999997</v>
      </c>
      <c r="T49" s="27">
        <f t="shared" si="20"/>
        <v>8262.0944999999992</v>
      </c>
      <c r="U49" s="75"/>
      <c r="V49" s="27">
        <f t="shared" si="21"/>
        <v>329.42247029999999</v>
      </c>
      <c r="W49" s="27">
        <f t="shared" si="22"/>
        <v>69.354573749999986</v>
      </c>
      <c r="X49" s="27">
        <f t="shared" si="22"/>
        <v>82.42614764999999</v>
      </c>
      <c r="Y49" s="27">
        <f t="shared" si="22"/>
        <v>17.350398449999997</v>
      </c>
      <c r="Z49" s="75"/>
      <c r="AA49" s="27">
        <f xml:space="preserve"> Q49 - V49</f>
        <v>156538.4205297</v>
      </c>
      <c r="AB49" s="27">
        <f>R49 - W49</f>
        <v>32956.632926249993</v>
      </c>
      <c r="AC49" s="27">
        <f xml:space="preserve"> S49-X49</f>
        <v>39168.120352349993</v>
      </c>
      <c r="AD49" s="27">
        <f xml:space="preserve"> T49 - Y49</f>
        <v>8244.744101549999</v>
      </c>
      <c r="AE49">
        <v>155</v>
      </c>
      <c r="AF49" s="34">
        <f t="shared" si="33"/>
        <v>1.7694063926940638E-2</v>
      </c>
      <c r="AG49" s="34">
        <f t="shared" si="34"/>
        <v>0.98230593607305938</v>
      </c>
      <c r="AH49" s="27">
        <f t="shared" si="35"/>
        <v>1384.9004099374142</v>
      </c>
      <c r="AI49" s="27">
        <f t="shared" si="36"/>
        <v>291.56838490689205</v>
      </c>
      <c r="AJ49" s="27">
        <f t="shared" si="37"/>
        <v>346.52161270629273</v>
      </c>
      <c r="AK49" s="27">
        <f t="shared" si="38"/>
        <v>72.941514597046222</v>
      </c>
      <c r="AL49" s="75"/>
      <c r="AM49" s="27">
        <f t="shared" si="29"/>
        <v>155153.52011976257</v>
      </c>
      <c r="AN49" s="27">
        <f t="shared" si="39"/>
        <v>32665.064541343101</v>
      </c>
      <c r="AO49" s="27">
        <f t="shared" si="40"/>
        <v>38821.598739643705</v>
      </c>
      <c r="AP49" s="27">
        <f t="shared" si="41"/>
        <v>8171.8025869529529</v>
      </c>
      <c r="AQ49" s="75"/>
    </row>
    <row r="50" spans="1:43" x14ac:dyDescent="0.2">
      <c r="A50" t="s">
        <v>72</v>
      </c>
      <c r="B50">
        <v>1595</v>
      </c>
      <c r="C50">
        <v>4718</v>
      </c>
      <c r="D50">
        <v>0.52</v>
      </c>
      <c r="E50">
        <v>0.6</v>
      </c>
      <c r="F50" s="2">
        <f t="shared" si="42"/>
        <v>957</v>
      </c>
      <c r="G50" t="s">
        <v>11</v>
      </c>
      <c r="H50" s="73"/>
      <c r="I50" s="73"/>
      <c r="J50" s="4">
        <v>957</v>
      </c>
      <c r="K50" s="5">
        <v>0.6</v>
      </c>
      <c r="L50">
        <v>70.06</v>
      </c>
      <c r="M50">
        <v>14.75</v>
      </c>
      <c r="N50">
        <v>17.53</v>
      </c>
      <c r="O50">
        <v>3.69</v>
      </c>
      <c r="P50" s="76"/>
      <c r="Q50" s="27">
        <f t="shared" si="17"/>
        <v>40228.451999999997</v>
      </c>
      <c r="R50" s="27">
        <f t="shared" si="18"/>
        <v>8469.4499999999989</v>
      </c>
      <c r="S50" s="27">
        <f t="shared" si="19"/>
        <v>10065.725999999999</v>
      </c>
      <c r="T50" s="27">
        <f t="shared" si="20"/>
        <v>2118.7979999999998</v>
      </c>
      <c r="U50" s="75"/>
      <c r="V50" s="27">
        <f t="shared" si="21"/>
        <v>84.479749199999986</v>
      </c>
      <c r="W50" s="27">
        <f t="shared" si="22"/>
        <v>17.785844999999998</v>
      </c>
      <c r="X50" s="27">
        <f t="shared" si="22"/>
        <v>21.138024599999998</v>
      </c>
      <c r="Y50" s="27">
        <f t="shared" si="22"/>
        <v>4.4494757999999992</v>
      </c>
      <c r="Z50" s="75"/>
      <c r="AA50" s="27">
        <f xml:space="preserve"> Q50 - V50</f>
        <v>40143.972250799998</v>
      </c>
      <c r="AB50" s="27">
        <f>R50 - W50</f>
        <v>8451.6641549999986</v>
      </c>
      <c r="AC50" s="27">
        <f xml:space="preserve"> S50-X50</f>
        <v>10044.587975399998</v>
      </c>
      <c r="AD50" s="27">
        <f xml:space="preserve"> T50 - Y50</f>
        <v>2114.3485241999997</v>
      </c>
      <c r="AE50">
        <v>10</v>
      </c>
      <c r="AF50" s="34">
        <f t="shared" si="33"/>
        <v>1.1415525114155251E-3</v>
      </c>
      <c r="AG50" s="34">
        <f t="shared" si="34"/>
        <v>0.99885844748858443</v>
      </c>
      <c r="AH50" s="27">
        <f t="shared" si="35"/>
        <v>22.913226170547944</v>
      </c>
      <c r="AI50" s="27">
        <f t="shared" si="36"/>
        <v>4.8240092208904102</v>
      </c>
      <c r="AJ50" s="27">
        <f t="shared" si="37"/>
        <v>5.7332123147260257</v>
      </c>
      <c r="AK50" s="27">
        <f t="shared" si="38"/>
        <v>1.2068199339041092</v>
      </c>
      <c r="AL50" s="75"/>
      <c r="AM50" s="27">
        <f t="shared" si="29"/>
        <v>40121.059024629445</v>
      </c>
      <c r="AN50" s="27">
        <f t="shared" si="39"/>
        <v>8446.8401457791078</v>
      </c>
      <c r="AO50" s="27">
        <f t="shared" si="40"/>
        <v>10038.854763085272</v>
      </c>
      <c r="AP50" s="27">
        <f t="shared" si="41"/>
        <v>2113.1417042660955</v>
      </c>
      <c r="AQ50" s="75"/>
    </row>
    <row r="51" spans="1:43" x14ac:dyDescent="0.2">
      <c r="A51" s="249"/>
      <c r="B51" s="249"/>
      <c r="C51" s="249"/>
      <c r="D51" s="249"/>
      <c r="E51" s="249"/>
      <c r="F51" s="249"/>
      <c r="G51" s="249"/>
      <c r="Q51" s="77">
        <f xml:space="preserve"> SUM(Q25:Q50)</f>
        <v>3133785.2011999995</v>
      </c>
      <c r="R51" s="77">
        <f xml:space="preserve"> SUM(R25:R50)</f>
        <v>659767.79499999993</v>
      </c>
      <c r="S51" s="77">
        <f xml:space="preserve"> SUM(S25:S50)</f>
        <v>784117.25060000014</v>
      </c>
      <c r="T51" s="77">
        <f xml:space="preserve"> SUM(T25:T50)</f>
        <v>165053.77380000008</v>
      </c>
      <c r="V51" s="77">
        <f xml:space="preserve"> SUM(V25:V50)</f>
        <v>6580.9489225199986</v>
      </c>
      <c r="W51" s="77">
        <f>SUM(W25:W50)</f>
        <v>1385.5123695</v>
      </c>
      <c r="X51" s="77">
        <f>SUM(X25:X50)</f>
        <v>1646.64622626</v>
      </c>
      <c r="Y51" s="77">
        <f xml:space="preserve"> SUM(Y25:Y50)</f>
        <v>346.61292497999995</v>
      </c>
      <c r="Z51" s="75"/>
      <c r="AA51" s="77">
        <f xml:space="preserve"> SUM(AA25:AA50)</f>
        <v>3127204.2522774804</v>
      </c>
      <c r="AB51" s="77">
        <f xml:space="preserve"> SUM(AB25:AB50)</f>
        <v>658382.2826304998</v>
      </c>
      <c r="AC51" s="77">
        <f xml:space="preserve"> SUM(AC25:AC50)</f>
        <v>782470.60437374003</v>
      </c>
      <c r="AD51" s="77">
        <f xml:space="preserve"> SUM(AD25:AD50)</f>
        <v>164707.16087502</v>
      </c>
      <c r="AF51" t="s">
        <v>93</v>
      </c>
      <c r="AH51" s="77">
        <f xml:space="preserve"> SUM(AH25:AH50)</f>
        <v>33556.009028537323</v>
      </c>
      <c r="AI51" s="77">
        <f xml:space="preserve"> SUM(AI25:AI50)</f>
        <v>7064.6750381234006</v>
      </c>
      <c r="AJ51" s="77">
        <f xml:space="preserve"> SUM(AJ25:AJ50)</f>
        <v>8396.1866724273386</v>
      </c>
      <c r="AK51" s="77">
        <f xml:space="preserve"> SUM(AK25:AK50)</f>
        <v>1767.3661620796854</v>
      </c>
      <c r="AL51" s="75"/>
      <c r="AM51" s="77">
        <f xml:space="preserve"> SUM(AM25:AM50)</f>
        <v>3093648.2432489432</v>
      </c>
      <c r="AN51" s="77">
        <f xml:space="preserve"> SUM(AN25:AN50)</f>
        <v>651317.60759237653</v>
      </c>
      <c r="AO51" s="77">
        <f xml:space="preserve"> SUM(AO25:AO50)</f>
        <v>774074.41770131269</v>
      </c>
      <c r="AP51" s="77">
        <f xml:space="preserve"> SUM(AP25:AP50)</f>
        <v>162939.79471294035</v>
      </c>
      <c r="AQ51" s="75"/>
    </row>
    <row r="52" spans="1:43" x14ac:dyDescent="0.2">
      <c r="J52" s="67" t="s">
        <v>138</v>
      </c>
      <c r="K52" s="67"/>
      <c r="L52" s="67"/>
      <c r="M52" s="67"/>
      <c r="N52" s="67"/>
      <c r="O52" s="251"/>
      <c r="P52" s="251"/>
      <c r="Q52" s="251"/>
      <c r="R52" s="251"/>
      <c r="S52" s="251"/>
      <c r="T52" s="251"/>
      <c r="V52" s="67" t="s">
        <v>152</v>
      </c>
      <c r="Z52" s="75"/>
      <c r="AE52" s="267"/>
    </row>
    <row r="61" spans="1:43" x14ac:dyDescent="0.2">
      <c r="AN61" t="s">
        <v>93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13399F-03E0-496D-8779-7C41A1169FDB}">
  <dimension ref="A1:EW62"/>
  <sheetViews>
    <sheetView topLeftCell="A2" zoomScale="73" zoomScaleNormal="73" workbookViewId="0">
      <selection activeCell="A24" sqref="A24"/>
    </sheetView>
  </sheetViews>
  <sheetFormatPr baseColWidth="10" defaultColWidth="8.83203125" defaultRowHeight="16" x14ac:dyDescent="0.2"/>
  <cols>
    <col min="1" max="1" width="19.6640625" customWidth="1"/>
    <col min="2" max="6" width="8.83203125" customWidth="1"/>
    <col min="7" max="7" width="18.6640625" customWidth="1"/>
    <col min="10" max="10" width="31.6640625" customWidth="1"/>
    <col min="11" max="11" width="37.5" style="34" customWidth="1"/>
    <col min="12" max="12" width="38.1640625" style="34" customWidth="1"/>
    <col min="13" max="13" width="41.83203125" style="34" customWidth="1"/>
    <col min="14" max="14" width="29.5" customWidth="1"/>
    <col min="15" max="15" width="12.6640625" customWidth="1"/>
    <col min="16" max="16" width="10.6640625" customWidth="1"/>
    <col min="17" max="17" width="12.5" customWidth="1"/>
    <col min="18" max="18" width="19.6640625" customWidth="1"/>
    <col min="19" max="19" width="23.6640625" customWidth="1"/>
    <col min="20" max="20" width="16.33203125" customWidth="1"/>
    <col min="27" max="27" width="11.33203125" customWidth="1"/>
    <col min="28" max="28" width="11" customWidth="1"/>
    <col min="29" max="29" width="11.33203125" customWidth="1"/>
    <col min="31" max="31" width="14.1640625" customWidth="1"/>
    <col min="33" max="33" width="11" customWidth="1"/>
    <col min="34" max="34" width="12.83203125" customWidth="1"/>
    <col min="35" max="35" width="12.5" customWidth="1"/>
    <col min="40" max="41" width="23.33203125" customWidth="1"/>
    <col min="42" max="42" width="27.5" customWidth="1"/>
    <col min="44" max="44" width="12" customWidth="1"/>
    <col min="45" max="46" width="11.33203125" customWidth="1"/>
    <col min="47" max="47" width="11.5" customWidth="1"/>
    <col min="49" max="49" width="11.6640625" customWidth="1"/>
    <col min="50" max="51" width="13.1640625" customWidth="1"/>
    <col min="52" max="52" width="11.33203125" customWidth="1"/>
    <col min="53" max="53" width="12.5" customWidth="1"/>
    <col min="54" max="54" width="14.6640625" customWidth="1"/>
    <col min="59" max="60" width="13.33203125" customWidth="1"/>
    <col min="62" max="62" width="12.83203125" customWidth="1"/>
    <col min="63" max="63" width="14.83203125" customWidth="1"/>
    <col min="64" max="64" width="12.5" customWidth="1"/>
    <col min="65" max="65" width="11.6640625" customWidth="1"/>
    <col min="66" max="66" width="14.5" customWidth="1"/>
    <col min="67" max="67" width="15.5" customWidth="1"/>
    <col min="72" max="72" width="10.6640625" customWidth="1"/>
    <col min="73" max="73" width="14.6640625" customWidth="1"/>
    <col min="74" max="74" width="11.6640625" customWidth="1"/>
    <col min="75" max="75" width="10.6640625" customWidth="1"/>
    <col min="76" max="76" width="11.33203125" customWidth="1"/>
    <col min="77" max="77" width="11.1640625" customWidth="1"/>
    <col min="78" max="78" width="10.6640625" customWidth="1"/>
    <col min="79" max="79" width="11" customWidth="1"/>
    <col min="80" max="80" width="10.6640625" customWidth="1"/>
    <col min="84" max="84" width="10.6640625" customWidth="1"/>
    <col min="85" max="85" width="11.6640625" customWidth="1"/>
    <col min="86" max="86" width="11.33203125" customWidth="1"/>
    <col min="87" max="87" width="9.5" customWidth="1"/>
    <col min="88" max="88" width="11" customWidth="1"/>
    <col min="89" max="89" width="9.83203125" customWidth="1"/>
    <col min="90" max="91" width="12" customWidth="1"/>
    <col min="92" max="92" width="12.83203125" customWidth="1"/>
    <col min="93" max="93" width="12.5" customWidth="1"/>
    <col min="94" max="94" width="11.33203125" customWidth="1"/>
    <col min="95" max="95" width="11.6640625" customWidth="1"/>
    <col min="96" max="96" width="10.83203125" customWidth="1"/>
    <col min="97" max="97" width="10.6640625" customWidth="1"/>
    <col min="98" max="98" width="12" customWidth="1"/>
    <col min="99" max="99" width="11.5" customWidth="1"/>
    <col min="100" max="100" width="10.6640625" customWidth="1"/>
    <col min="101" max="101" width="12.1640625" customWidth="1"/>
    <col min="105" max="105" width="12.6640625" customWidth="1"/>
    <col min="106" max="106" width="15.6640625" customWidth="1"/>
    <col min="107" max="107" width="13.83203125" customWidth="1"/>
    <col min="108" max="108" width="14.1640625" customWidth="1"/>
    <col min="109" max="110" width="10.6640625" customWidth="1"/>
    <col min="111" max="111" width="11" customWidth="1"/>
    <col min="112" max="112" width="11.33203125" customWidth="1"/>
    <col min="113" max="113" width="11.1640625" customWidth="1"/>
    <col min="114" max="114" width="13.6640625" customWidth="1"/>
    <col min="115" max="115" width="13.83203125" customWidth="1"/>
    <col min="116" max="116" width="15" customWidth="1"/>
    <col min="117" max="117" width="13" customWidth="1"/>
    <col min="118" max="118" width="10.83203125" customWidth="1"/>
    <col min="119" max="119" width="11.83203125" customWidth="1"/>
    <col min="120" max="120" width="12.5" customWidth="1"/>
    <col min="121" max="121" width="12.33203125" customWidth="1"/>
    <col min="122" max="122" width="11.6640625" customWidth="1"/>
    <col min="124" max="124" width="11.33203125" customWidth="1"/>
    <col min="125" max="125" width="12.33203125" customWidth="1"/>
    <col min="126" max="126" width="12.1640625" customWidth="1"/>
    <col min="127" max="127" width="11.6640625" customWidth="1"/>
    <col min="128" max="128" width="12.5" customWidth="1"/>
    <col min="129" max="129" width="9.83203125" customWidth="1"/>
    <col min="130" max="130" width="11.83203125" customWidth="1"/>
    <col min="131" max="131" width="13.5" customWidth="1"/>
    <col min="132" max="132" width="15.33203125" customWidth="1"/>
    <col min="134" max="134" width="23.5" style="177" customWidth="1"/>
    <col min="135" max="135" width="11" style="177" customWidth="1"/>
    <col min="136" max="136" width="11.1640625" style="177" customWidth="1"/>
    <col min="137" max="137" width="12.6640625" style="177" customWidth="1"/>
    <col min="138" max="138" width="37" style="177" customWidth="1"/>
    <col min="139" max="139" width="11.83203125" style="177" customWidth="1"/>
    <col min="140" max="140" width="12.83203125" style="177" customWidth="1"/>
    <col min="141" max="141" width="12.5" style="177" customWidth="1"/>
    <col min="142" max="142" width="11.33203125" style="177" customWidth="1"/>
    <col min="143" max="144" width="12.6640625" style="177" customWidth="1"/>
    <col min="145" max="145" width="12" style="177" customWidth="1"/>
    <col min="146" max="146" width="11.83203125" style="177" customWidth="1"/>
    <col min="147" max="147" width="17.83203125" style="177" customWidth="1"/>
    <col min="148" max="148" width="11.83203125" style="177" customWidth="1"/>
    <col min="149" max="149" width="11.6640625" style="177" customWidth="1"/>
    <col min="150" max="150" width="12.1640625" style="177" customWidth="1"/>
    <col min="151" max="151" width="13.1640625" style="177" customWidth="1"/>
  </cols>
  <sheetData>
    <row r="1" spans="1:153" ht="34" x14ac:dyDescent="0.4">
      <c r="A1" s="14" t="s">
        <v>46</v>
      </c>
      <c r="B1" s="11"/>
      <c r="C1" s="11"/>
      <c r="D1" s="11"/>
      <c r="E1" s="11"/>
      <c r="F1" s="11"/>
      <c r="G1" s="11" t="s">
        <v>22</v>
      </c>
      <c r="H1" s="31"/>
      <c r="I1" s="32"/>
      <c r="J1" s="12" t="s">
        <v>330</v>
      </c>
      <c r="K1" s="220"/>
      <c r="L1" s="220"/>
      <c r="M1" s="220"/>
      <c r="N1" s="11"/>
      <c r="O1" s="66" t="s">
        <v>133</v>
      </c>
      <c r="P1" s="11"/>
      <c r="Q1" s="43" t="s">
        <v>132</v>
      </c>
      <c r="R1" s="11"/>
      <c r="S1" s="11"/>
      <c r="T1" s="11"/>
      <c r="U1" s="11"/>
      <c r="V1" s="98" t="s">
        <v>181</v>
      </c>
      <c r="W1" s="99"/>
      <c r="X1" s="99" t="s">
        <v>189</v>
      </c>
      <c r="Y1" s="99"/>
      <c r="Z1" s="99"/>
      <c r="AA1" s="99"/>
      <c r="AB1" s="99"/>
      <c r="AC1" s="99"/>
      <c r="AD1" s="99" t="s">
        <v>188</v>
      </c>
      <c r="AE1" s="99"/>
      <c r="AF1" s="99"/>
      <c r="AG1" s="11"/>
      <c r="AH1" s="11"/>
      <c r="AI1" s="11"/>
      <c r="AJ1" s="11"/>
      <c r="AK1" s="65" t="s">
        <v>123</v>
      </c>
      <c r="AL1" s="11"/>
      <c r="AM1" s="11"/>
      <c r="AN1" s="11"/>
      <c r="AO1" s="11"/>
      <c r="AP1" s="11"/>
      <c r="AQ1" s="44"/>
      <c r="AR1" s="44"/>
      <c r="AS1" s="11"/>
      <c r="AT1" s="11"/>
      <c r="AU1" s="11"/>
      <c r="AV1" s="44"/>
      <c r="AW1" s="44"/>
      <c r="AX1" s="11"/>
      <c r="AY1" s="11"/>
      <c r="AZ1" s="11"/>
      <c r="BA1" s="44"/>
      <c r="BB1" s="44"/>
      <c r="BC1" s="11"/>
      <c r="BD1" s="61" t="s">
        <v>83</v>
      </c>
      <c r="BE1" s="11"/>
      <c r="BF1" s="11"/>
      <c r="BG1" s="11"/>
      <c r="BH1" s="11"/>
      <c r="BI1" s="11"/>
      <c r="BJ1" s="11"/>
      <c r="BK1" s="11"/>
      <c r="BL1" s="11"/>
      <c r="BM1" s="11"/>
      <c r="BN1" s="11"/>
      <c r="BO1" s="63"/>
      <c r="BP1" s="11"/>
      <c r="BQ1" s="43" t="s">
        <v>233</v>
      </c>
      <c r="BR1" s="11"/>
      <c r="BS1" s="11"/>
      <c r="BT1" s="11"/>
      <c r="BU1" s="11"/>
      <c r="BV1" s="11"/>
      <c r="BW1" s="11"/>
      <c r="BX1" s="11"/>
      <c r="BY1" s="11"/>
      <c r="BZ1" s="11"/>
      <c r="CA1" s="11"/>
      <c r="CB1" s="11"/>
      <c r="CC1" s="121"/>
      <c r="CD1" s="164" t="s">
        <v>291</v>
      </c>
      <c r="CE1" s="11"/>
      <c r="CF1" s="139"/>
      <c r="CG1" s="139"/>
      <c r="CH1" s="139"/>
      <c r="CI1" s="139"/>
      <c r="CJ1" s="139"/>
      <c r="CK1" s="139"/>
      <c r="CL1" s="139"/>
      <c r="CM1" s="139"/>
      <c r="CN1" s="139"/>
      <c r="CO1" s="139"/>
      <c r="CP1" s="139"/>
      <c r="CQ1" s="139"/>
      <c r="CR1" s="139"/>
      <c r="CS1" s="139"/>
      <c r="CT1" s="139"/>
      <c r="CU1" s="139"/>
      <c r="CV1" s="139"/>
      <c r="CW1" s="139"/>
      <c r="CX1" s="121"/>
      <c r="CY1" s="164" t="s">
        <v>329</v>
      </c>
      <c r="CZ1" s="164"/>
      <c r="DA1" s="139"/>
      <c r="DB1" s="139"/>
      <c r="DC1" s="139"/>
      <c r="DD1" s="139"/>
      <c r="DE1" s="139"/>
      <c r="DF1" s="139"/>
      <c r="DG1" s="139"/>
      <c r="DH1" s="139"/>
      <c r="DI1" s="139"/>
      <c r="DJ1" s="139"/>
      <c r="DK1" s="139"/>
      <c r="DL1" s="139"/>
      <c r="DM1" s="139"/>
      <c r="DN1" s="139"/>
      <c r="DO1" s="139"/>
      <c r="DP1" s="139"/>
      <c r="DQ1" s="139"/>
      <c r="DR1" s="139"/>
      <c r="DS1" s="121"/>
      <c r="DT1" s="120" t="s">
        <v>180</v>
      </c>
      <c r="DU1" s="11"/>
      <c r="DV1" s="11"/>
      <c r="DW1" s="51"/>
      <c r="DX1" s="11"/>
      <c r="DY1" s="39"/>
      <c r="DZ1" s="39"/>
      <c r="EA1" s="39"/>
      <c r="EB1" s="39"/>
      <c r="EC1" s="121"/>
      <c r="ED1" s="225" t="s">
        <v>313</v>
      </c>
      <c r="EE1" s="175"/>
      <c r="EF1" s="175"/>
      <c r="EG1" s="201"/>
      <c r="EH1" s="175"/>
      <c r="EI1" s="202"/>
      <c r="EJ1" s="202"/>
      <c r="EK1" s="202"/>
      <c r="EL1" s="216"/>
      <c r="EM1" s="225" t="s">
        <v>313</v>
      </c>
      <c r="EN1" s="175"/>
      <c r="EO1" s="175"/>
      <c r="EP1" s="201"/>
      <c r="EQ1" s="175"/>
      <c r="ER1" s="202"/>
      <c r="ES1" s="202"/>
      <c r="ET1" s="202"/>
      <c r="EU1" s="216"/>
    </row>
    <row r="2" spans="1:153" ht="19" x14ac:dyDescent="0.25">
      <c r="A2" s="26"/>
      <c r="H2" s="20"/>
      <c r="I2" s="21"/>
      <c r="J2" s="6" t="s">
        <v>405</v>
      </c>
      <c r="K2" s="221"/>
      <c r="L2" s="221"/>
      <c r="M2" s="221"/>
      <c r="N2" s="7"/>
      <c r="O2" s="7" t="s">
        <v>95</v>
      </c>
      <c r="P2" s="7" t="s">
        <v>96</v>
      </c>
      <c r="Q2" s="7" t="s">
        <v>97</v>
      </c>
      <c r="R2" s="7" t="s">
        <v>101</v>
      </c>
      <c r="S2" s="7" t="s">
        <v>96</v>
      </c>
      <c r="T2" s="7" t="s">
        <v>102</v>
      </c>
      <c r="U2" s="16"/>
      <c r="V2" s="102" t="s">
        <v>185</v>
      </c>
      <c r="W2" s="62"/>
      <c r="X2" s="62" t="s">
        <v>183</v>
      </c>
      <c r="Y2" s="62"/>
      <c r="Z2" s="62"/>
      <c r="AA2" s="62" t="s">
        <v>187</v>
      </c>
      <c r="AB2" s="62"/>
      <c r="AC2" s="62"/>
      <c r="AD2" s="62" t="s">
        <v>183</v>
      </c>
      <c r="AE2" s="62"/>
      <c r="AF2" s="62"/>
      <c r="AG2" s="62" t="s">
        <v>187</v>
      </c>
      <c r="AH2" s="62"/>
      <c r="AI2" s="62"/>
      <c r="AJ2" s="101"/>
      <c r="AK2" s="64" t="s">
        <v>86</v>
      </c>
      <c r="AL2" s="37"/>
      <c r="AM2" s="37"/>
      <c r="AN2" s="37" t="s">
        <v>107</v>
      </c>
      <c r="AO2" s="37" t="s">
        <v>107</v>
      </c>
      <c r="AP2" s="37" t="s">
        <v>107</v>
      </c>
      <c r="AQ2" s="37" t="s">
        <v>116</v>
      </c>
      <c r="AR2" s="37" t="s">
        <v>116</v>
      </c>
      <c r="AS2" s="37" t="s">
        <v>106</v>
      </c>
      <c r="AT2" s="37" t="s">
        <v>106</v>
      </c>
      <c r="AU2" s="37" t="s">
        <v>106</v>
      </c>
      <c r="AV2" s="37" t="s">
        <v>112</v>
      </c>
      <c r="AW2" s="37" t="s">
        <v>112</v>
      </c>
      <c r="AX2" s="37" t="s">
        <v>109</v>
      </c>
      <c r="AY2" s="37" t="s">
        <v>109</v>
      </c>
      <c r="AZ2" s="37" t="s">
        <v>109</v>
      </c>
      <c r="BA2" s="37" t="s">
        <v>113</v>
      </c>
      <c r="BB2" s="37" t="s">
        <v>113</v>
      </c>
      <c r="BC2" s="58"/>
      <c r="BD2" s="7" t="s">
        <v>232</v>
      </c>
      <c r="BE2" s="7"/>
      <c r="BF2" s="7"/>
      <c r="BG2" s="7" t="s">
        <v>118</v>
      </c>
      <c r="BH2" s="7"/>
      <c r="BI2" s="7"/>
      <c r="BJ2" s="49" t="s">
        <v>119</v>
      </c>
      <c r="BK2" s="7"/>
      <c r="BL2" s="7"/>
      <c r="BM2" s="6" t="s">
        <v>120</v>
      </c>
      <c r="BN2" s="7"/>
      <c r="BO2" s="62"/>
      <c r="BP2" s="114"/>
      <c r="BQ2" s="7" t="s">
        <v>231</v>
      </c>
      <c r="BR2" s="7"/>
      <c r="BS2" s="7"/>
      <c r="BT2" s="7" t="s">
        <v>118</v>
      </c>
      <c r="BU2" s="7"/>
      <c r="BV2" s="7"/>
      <c r="BW2" s="49" t="s">
        <v>119</v>
      </c>
      <c r="BX2" s="7"/>
      <c r="BY2" s="7"/>
      <c r="BZ2" s="6" t="s">
        <v>120</v>
      </c>
      <c r="CA2" s="7"/>
      <c r="CB2" s="62"/>
      <c r="CC2" s="122"/>
      <c r="CD2" s="154" t="s">
        <v>290</v>
      </c>
      <c r="CE2" s="165"/>
      <c r="CF2" s="168" t="s">
        <v>282</v>
      </c>
      <c r="CG2" s="168"/>
      <c r="CH2" s="168"/>
      <c r="CI2" s="168"/>
      <c r="CJ2" s="168"/>
      <c r="CK2" s="170"/>
      <c r="CL2" s="168" t="s">
        <v>285</v>
      </c>
      <c r="CM2" s="168"/>
      <c r="CN2" s="168"/>
      <c r="CO2" s="168"/>
      <c r="CP2" s="168"/>
      <c r="CQ2" s="170"/>
      <c r="CR2" s="168" t="s">
        <v>287</v>
      </c>
      <c r="CS2" s="168"/>
      <c r="CT2" s="168"/>
      <c r="CU2" s="168"/>
      <c r="CV2" s="168"/>
      <c r="CW2" s="168"/>
      <c r="CX2" s="122"/>
      <c r="CY2" s="168" t="s">
        <v>306</v>
      </c>
      <c r="CZ2" s="168"/>
      <c r="DA2" s="168" t="s">
        <v>311</v>
      </c>
      <c r="DB2" s="168"/>
      <c r="DC2" s="168"/>
      <c r="DD2" s="168"/>
      <c r="DE2" s="168"/>
      <c r="DF2" s="168"/>
      <c r="DG2" s="168"/>
      <c r="DH2" s="168"/>
      <c r="DI2" s="170"/>
      <c r="DJ2" s="168" t="s">
        <v>312</v>
      </c>
      <c r="DK2" s="168"/>
      <c r="DL2" s="168"/>
      <c r="DM2" s="168"/>
      <c r="DN2" s="168"/>
      <c r="DO2" s="168"/>
      <c r="DP2" s="168"/>
      <c r="DQ2" s="168"/>
      <c r="DR2" s="168"/>
      <c r="DS2" s="122"/>
      <c r="DT2" s="60" t="s">
        <v>105</v>
      </c>
      <c r="DU2" s="8"/>
      <c r="DV2" s="8"/>
      <c r="DW2" s="57" t="s">
        <v>104</v>
      </c>
      <c r="DX2" s="8"/>
      <c r="DY2" s="40"/>
      <c r="DZ2" s="52" t="s">
        <v>108</v>
      </c>
      <c r="EA2" s="50"/>
      <c r="EB2" s="50"/>
      <c r="EC2" s="122"/>
      <c r="ED2" s="226" t="s">
        <v>293</v>
      </c>
      <c r="EE2" s="204"/>
      <c r="EF2" s="204"/>
      <c r="EG2" s="203" t="s">
        <v>104</v>
      </c>
      <c r="EH2" s="204"/>
      <c r="EI2" s="205"/>
      <c r="EJ2" s="206" t="s">
        <v>108</v>
      </c>
      <c r="EK2" s="207"/>
      <c r="EL2" s="217"/>
      <c r="EM2" s="226" t="s">
        <v>293</v>
      </c>
      <c r="EN2" s="204"/>
      <c r="EO2" s="204"/>
      <c r="EP2" s="203" t="s">
        <v>104</v>
      </c>
      <c r="EQ2" s="204"/>
      <c r="ER2" s="205"/>
      <c r="ES2" s="206" t="s">
        <v>108</v>
      </c>
      <c r="ET2" s="207"/>
      <c r="EU2" s="217"/>
    </row>
    <row r="3" spans="1:153" x14ac:dyDescent="0.2">
      <c r="A3" s="15" t="s">
        <v>0</v>
      </c>
      <c r="B3" s="15" t="s">
        <v>9</v>
      </c>
      <c r="C3" s="15" t="s">
        <v>2</v>
      </c>
      <c r="D3" s="15" t="s">
        <v>1</v>
      </c>
      <c r="E3" s="15" t="s">
        <v>3</v>
      </c>
      <c r="F3" s="15" t="s">
        <v>6</v>
      </c>
      <c r="G3" s="15" t="s">
        <v>5</v>
      </c>
      <c r="H3" s="22"/>
      <c r="I3" s="23"/>
      <c r="J3" s="9" t="s">
        <v>74</v>
      </c>
      <c r="K3" s="222" t="s">
        <v>333</v>
      </c>
      <c r="L3" s="222" t="s">
        <v>129</v>
      </c>
      <c r="M3" s="222" t="s">
        <v>332</v>
      </c>
      <c r="N3" s="9" t="s">
        <v>1</v>
      </c>
      <c r="O3" s="10" t="s">
        <v>98</v>
      </c>
      <c r="P3" s="10" t="s">
        <v>76</v>
      </c>
      <c r="Q3" s="10" t="s">
        <v>99</v>
      </c>
      <c r="R3" s="10" t="s">
        <v>100</v>
      </c>
      <c r="S3" s="10" t="s">
        <v>100</v>
      </c>
      <c r="T3" s="10" t="s">
        <v>100</v>
      </c>
      <c r="U3" s="17"/>
      <c r="V3" s="103" t="s">
        <v>182</v>
      </c>
      <c r="W3" s="103" t="s">
        <v>184</v>
      </c>
      <c r="X3" s="100" t="s">
        <v>101</v>
      </c>
      <c r="Y3" s="100" t="s">
        <v>96</v>
      </c>
      <c r="Z3" s="100" t="s">
        <v>102</v>
      </c>
      <c r="AA3" s="100" t="s">
        <v>101</v>
      </c>
      <c r="AB3" s="100" t="s">
        <v>96</v>
      </c>
      <c r="AC3" s="100" t="s">
        <v>102</v>
      </c>
      <c r="AD3" s="100" t="s">
        <v>101</v>
      </c>
      <c r="AE3" s="100" t="s">
        <v>96</v>
      </c>
      <c r="AF3" s="100" t="s">
        <v>102</v>
      </c>
      <c r="AG3" s="100" t="s">
        <v>101</v>
      </c>
      <c r="AH3" s="100" t="s">
        <v>96</v>
      </c>
      <c r="AI3" s="100" t="s">
        <v>102</v>
      </c>
      <c r="AJ3" s="17"/>
      <c r="AK3" s="10" t="s">
        <v>85</v>
      </c>
      <c r="AL3" s="10" t="s">
        <v>89</v>
      </c>
      <c r="AM3" s="10" t="s">
        <v>90</v>
      </c>
      <c r="AN3" s="10" t="s">
        <v>352</v>
      </c>
      <c r="AO3" s="10" t="s">
        <v>357</v>
      </c>
      <c r="AP3" s="10" t="s">
        <v>110</v>
      </c>
      <c r="AQ3" s="10" t="s">
        <v>91</v>
      </c>
      <c r="AR3" s="10" t="s">
        <v>92</v>
      </c>
      <c r="AS3" s="10" t="s">
        <v>354</v>
      </c>
      <c r="AT3" s="10" t="s">
        <v>356</v>
      </c>
      <c r="AU3" s="10" t="s">
        <v>111</v>
      </c>
      <c r="AV3" s="10" t="s">
        <v>91</v>
      </c>
      <c r="AW3" s="10" t="s">
        <v>92</v>
      </c>
      <c r="AX3" s="10" t="s">
        <v>366</v>
      </c>
      <c r="AY3" s="10" t="s">
        <v>356</v>
      </c>
      <c r="AZ3" s="10" t="s">
        <v>111</v>
      </c>
      <c r="BA3" s="10" t="s">
        <v>114</v>
      </c>
      <c r="BB3" s="10" t="s">
        <v>115</v>
      </c>
      <c r="BC3" s="58"/>
      <c r="BD3" s="9" t="s">
        <v>77</v>
      </c>
      <c r="BE3" s="9" t="s">
        <v>78</v>
      </c>
      <c r="BF3" s="9" t="s">
        <v>79</v>
      </c>
      <c r="BG3" s="45" t="s">
        <v>117</v>
      </c>
      <c r="BH3" s="10" t="s">
        <v>121</v>
      </c>
      <c r="BI3" s="10" t="s">
        <v>122</v>
      </c>
      <c r="BJ3" s="45" t="s">
        <v>117</v>
      </c>
      <c r="BK3" s="10" t="s">
        <v>121</v>
      </c>
      <c r="BL3" s="10" t="s">
        <v>122</v>
      </c>
      <c r="BM3" s="46" t="s">
        <v>117</v>
      </c>
      <c r="BN3" s="10" t="s">
        <v>121</v>
      </c>
      <c r="BO3" s="10" t="s">
        <v>122</v>
      </c>
      <c r="BP3" s="115"/>
      <c r="BQ3" s="9" t="s">
        <v>77</v>
      </c>
      <c r="BR3" s="9" t="s">
        <v>78</v>
      </c>
      <c r="BS3" s="9" t="s">
        <v>79</v>
      </c>
      <c r="BT3" s="45" t="s">
        <v>117</v>
      </c>
      <c r="BU3" s="10" t="s">
        <v>121</v>
      </c>
      <c r="BV3" s="10" t="s">
        <v>122</v>
      </c>
      <c r="BW3" s="45" t="s">
        <v>117</v>
      </c>
      <c r="BX3" s="10" t="s">
        <v>121</v>
      </c>
      <c r="BY3" s="10" t="s">
        <v>122</v>
      </c>
      <c r="BZ3" s="46" t="s">
        <v>117</v>
      </c>
      <c r="CA3" s="10" t="s">
        <v>121</v>
      </c>
      <c r="CB3" s="10" t="s">
        <v>122</v>
      </c>
      <c r="CC3" s="123"/>
      <c r="CD3" s="9" t="s">
        <v>277</v>
      </c>
      <c r="CE3" s="166" t="s">
        <v>278</v>
      </c>
      <c r="CF3" s="168" t="s">
        <v>117</v>
      </c>
      <c r="CG3" s="168" t="s">
        <v>117</v>
      </c>
      <c r="CH3" s="168" t="s">
        <v>121</v>
      </c>
      <c r="CI3" s="168" t="s">
        <v>121</v>
      </c>
      <c r="CJ3" s="168" t="s">
        <v>122</v>
      </c>
      <c r="CK3" s="170" t="s">
        <v>122</v>
      </c>
      <c r="CL3" s="168" t="s">
        <v>117</v>
      </c>
      <c r="CM3" s="168" t="s">
        <v>117</v>
      </c>
      <c r="CN3" s="168" t="s">
        <v>121</v>
      </c>
      <c r="CO3" s="168" t="s">
        <v>121</v>
      </c>
      <c r="CP3" s="168" t="s">
        <v>122</v>
      </c>
      <c r="CQ3" s="170" t="s">
        <v>122</v>
      </c>
      <c r="CR3" s="168" t="s">
        <v>117</v>
      </c>
      <c r="CS3" s="168" t="s">
        <v>117</v>
      </c>
      <c r="CT3" s="168" t="s">
        <v>121</v>
      </c>
      <c r="CU3" s="168" t="s">
        <v>121</v>
      </c>
      <c r="CV3" s="168" t="s">
        <v>122</v>
      </c>
      <c r="CW3" s="168" t="s">
        <v>122</v>
      </c>
      <c r="CX3" s="123"/>
      <c r="CY3" s="9" t="s">
        <v>307</v>
      </c>
      <c r="CZ3" s="9" t="s">
        <v>308</v>
      </c>
      <c r="DA3" s="168" t="s">
        <v>105</v>
      </c>
      <c r="DB3" s="168"/>
      <c r="DC3" s="168"/>
      <c r="DD3" s="168" t="s">
        <v>104</v>
      </c>
      <c r="DE3" s="168"/>
      <c r="DF3" s="168"/>
      <c r="DG3" s="168" t="s">
        <v>108</v>
      </c>
      <c r="DH3" s="168"/>
      <c r="DI3" s="170"/>
      <c r="DJ3" s="168" t="s">
        <v>105</v>
      </c>
      <c r="DK3" s="168"/>
      <c r="DL3" s="168"/>
      <c r="DM3" s="168" t="s">
        <v>104</v>
      </c>
      <c r="DN3" s="168"/>
      <c r="DO3" s="168"/>
      <c r="DP3" s="168" t="s">
        <v>108</v>
      </c>
      <c r="DQ3" s="168"/>
      <c r="DR3" s="170"/>
      <c r="DS3" s="123"/>
      <c r="DT3" s="10" t="s">
        <v>80</v>
      </c>
      <c r="DU3" s="10" t="s">
        <v>81</v>
      </c>
      <c r="DV3" s="41" t="s">
        <v>82</v>
      </c>
      <c r="DW3" s="46" t="s">
        <v>80</v>
      </c>
      <c r="DX3" s="10" t="s">
        <v>81</v>
      </c>
      <c r="DY3" s="41" t="s">
        <v>82</v>
      </c>
      <c r="DZ3" s="46" t="s">
        <v>80</v>
      </c>
      <c r="EA3" s="10" t="s">
        <v>81</v>
      </c>
      <c r="EB3" s="41" t="s">
        <v>82</v>
      </c>
      <c r="EC3" s="123"/>
      <c r="ED3" s="209" t="s">
        <v>316</v>
      </c>
      <c r="EE3" s="209"/>
      <c r="EF3" s="210"/>
      <c r="EG3" s="208" t="s">
        <v>315</v>
      </c>
      <c r="EH3" s="209"/>
      <c r="EI3" s="210"/>
      <c r="EJ3" s="208" t="s">
        <v>315</v>
      </c>
      <c r="EK3" s="209"/>
      <c r="EL3" s="218"/>
      <c r="EM3" s="209" t="s">
        <v>317</v>
      </c>
      <c r="EN3" s="209"/>
      <c r="EO3" s="210"/>
      <c r="EP3" s="208" t="s">
        <v>314</v>
      </c>
      <c r="EQ3" s="209"/>
      <c r="ER3" s="210"/>
      <c r="ES3" s="208" t="s">
        <v>314</v>
      </c>
      <c r="ET3" s="209"/>
      <c r="EU3" s="218"/>
      <c r="EV3" s="1"/>
      <c r="EW3" s="1"/>
    </row>
    <row r="4" spans="1:153" ht="19" x14ac:dyDescent="0.25">
      <c r="A4" s="24" t="s">
        <v>75</v>
      </c>
      <c r="B4" s="25"/>
      <c r="C4" s="25"/>
      <c r="D4" s="25"/>
      <c r="E4" s="25"/>
      <c r="F4" s="25"/>
      <c r="G4" s="25"/>
      <c r="H4" s="22"/>
      <c r="I4" s="23"/>
      <c r="J4" s="9"/>
      <c r="K4" s="222" t="s">
        <v>128</v>
      </c>
      <c r="L4" s="222" t="s">
        <v>130</v>
      </c>
      <c r="M4" s="222" t="s">
        <v>130</v>
      </c>
      <c r="N4" s="9"/>
      <c r="O4" s="10"/>
      <c r="P4" s="10"/>
      <c r="Q4" s="10"/>
      <c r="R4" s="10"/>
      <c r="S4" s="10"/>
      <c r="T4" s="10"/>
      <c r="U4" s="17"/>
      <c r="V4" s="103" t="s">
        <v>186</v>
      </c>
      <c r="W4" s="103"/>
      <c r="X4" s="100"/>
      <c r="Y4" s="100"/>
      <c r="Z4" s="100"/>
      <c r="AA4" s="100"/>
      <c r="AB4" s="100"/>
      <c r="AC4" s="100"/>
      <c r="AD4" s="100"/>
      <c r="AE4" s="100"/>
      <c r="AF4" s="100"/>
      <c r="AG4" s="100"/>
      <c r="AH4" s="100"/>
      <c r="AI4" s="100"/>
      <c r="AJ4" s="17"/>
      <c r="AK4" s="10"/>
      <c r="AL4" s="10" t="s">
        <v>88</v>
      </c>
      <c r="AM4" s="10"/>
      <c r="AN4" s="10"/>
      <c r="AO4" s="10" t="s">
        <v>362</v>
      </c>
      <c r="AP4" s="10"/>
      <c r="AQ4" s="10"/>
      <c r="AR4" s="10"/>
      <c r="AS4" s="10"/>
      <c r="AT4" s="10"/>
      <c r="AU4" s="10"/>
      <c r="AV4" s="10"/>
      <c r="AW4" s="10"/>
      <c r="AX4" s="10"/>
      <c r="AY4" s="10"/>
      <c r="AZ4" s="10"/>
      <c r="BA4" s="10"/>
      <c r="BB4" s="10"/>
      <c r="BC4" s="17"/>
      <c r="BD4" s="9"/>
      <c r="BE4" s="9"/>
      <c r="BF4" s="9"/>
      <c r="BG4" s="46"/>
      <c r="BH4" s="10"/>
      <c r="BI4" s="10"/>
      <c r="BJ4" s="46"/>
      <c r="BK4" s="10"/>
      <c r="BL4" s="10"/>
      <c r="BM4" s="46"/>
      <c r="BN4" s="10"/>
      <c r="BO4" s="10"/>
      <c r="BP4" s="116"/>
      <c r="BQ4" s="124">
        <v>0.88480000000000003</v>
      </c>
      <c r="BR4" s="124">
        <v>0.94579999999999997</v>
      </c>
      <c r="BS4" s="124">
        <v>0.97699999999999998</v>
      </c>
      <c r="BT4" s="46"/>
      <c r="BU4" s="10"/>
      <c r="BV4" s="10"/>
      <c r="BW4" s="46"/>
      <c r="BX4" s="10"/>
      <c r="BY4" s="10"/>
      <c r="BZ4" s="46"/>
      <c r="CA4" s="10"/>
      <c r="CB4" s="10"/>
      <c r="CC4" s="123"/>
      <c r="CD4" s="124">
        <v>0.68</v>
      </c>
      <c r="CE4" s="167">
        <v>0.32</v>
      </c>
      <c r="CF4" s="168" t="s">
        <v>281</v>
      </c>
      <c r="CG4" s="168" t="s">
        <v>283</v>
      </c>
      <c r="CH4" s="168" t="s">
        <v>281</v>
      </c>
      <c r="CI4" s="168" t="s">
        <v>283</v>
      </c>
      <c r="CJ4" s="168" t="s">
        <v>281</v>
      </c>
      <c r="CK4" s="170" t="s">
        <v>283</v>
      </c>
      <c r="CL4" s="168" t="s">
        <v>281</v>
      </c>
      <c r="CM4" s="168" t="s">
        <v>283</v>
      </c>
      <c r="CN4" s="168" t="s">
        <v>281</v>
      </c>
      <c r="CO4" s="168" t="s">
        <v>283</v>
      </c>
      <c r="CP4" s="168" t="s">
        <v>281</v>
      </c>
      <c r="CQ4" s="170" t="s">
        <v>283</v>
      </c>
      <c r="CR4" s="168" t="s">
        <v>281</v>
      </c>
      <c r="CS4" s="168" t="s">
        <v>283</v>
      </c>
      <c r="CT4" s="168" t="s">
        <v>281</v>
      </c>
      <c r="CU4" s="168" t="s">
        <v>283</v>
      </c>
      <c r="CV4" s="168" t="s">
        <v>281</v>
      </c>
      <c r="CW4" s="168" t="s">
        <v>283</v>
      </c>
      <c r="CX4" s="123"/>
      <c r="CY4" s="124" t="s">
        <v>297</v>
      </c>
      <c r="CZ4" s="124" t="s">
        <v>310</v>
      </c>
      <c r="DA4" s="168" t="s">
        <v>117</v>
      </c>
      <c r="DB4" s="168" t="s">
        <v>121</v>
      </c>
      <c r="DC4" s="168" t="s">
        <v>122</v>
      </c>
      <c r="DD4" s="168" t="s">
        <v>117</v>
      </c>
      <c r="DE4" s="168" t="s">
        <v>121</v>
      </c>
      <c r="DF4" s="168" t="s">
        <v>122</v>
      </c>
      <c r="DG4" s="168" t="s">
        <v>117</v>
      </c>
      <c r="DH4" s="168" t="s">
        <v>121</v>
      </c>
      <c r="DI4" s="170" t="s">
        <v>122</v>
      </c>
      <c r="DJ4" s="168" t="s">
        <v>117</v>
      </c>
      <c r="DK4" s="168" t="s">
        <v>121</v>
      </c>
      <c r="DL4" s="168" t="s">
        <v>122</v>
      </c>
      <c r="DM4" s="168" t="s">
        <v>117</v>
      </c>
      <c r="DN4" s="168" t="s">
        <v>121</v>
      </c>
      <c r="DO4" s="168" t="s">
        <v>122</v>
      </c>
      <c r="DP4" s="168" t="s">
        <v>117</v>
      </c>
      <c r="DQ4" s="168" t="s">
        <v>121</v>
      </c>
      <c r="DR4" s="170" t="s">
        <v>122</v>
      </c>
      <c r="DS4" s="123"/>
      <c r="DT4" s="10"/>
      <c r="DU4" s="10"/>
      <c r="DV4" s="10"/>
      <c r="DW4" s="46"/>
      <c r="DX4" s="10"/>
      <c r="DY4" s="41"/>
      <c r="DZ4" s="53"/>
      <c r="EA4" s="41"/>
      <c r="EB4" s="41"/>
      <c r="EC4" s="123"/>
      <c r="ED4" s="209" t="s">
        <v>80</v>
      </c>
      <c r="EE4" s="209" t="s">
        <v>81</v>
      </c>
      <c r="EF4" s="210" t="s">
        <v>82</v>
      </c>
      <c r="EG4" s="208" t="s">
        <v>80</v>
      </c>
      <c r="EH4" s="209" t="s">
        <v>81</v>
      </c>
      <c r="EI4" s="210" t="s">
        <v>82</v>
      </c>
      <c r="EJ4" s="208" t="s">
        <v>80</v>
      </c>
      <c r="EK4" s="209" t="s">
        <v>81</v>
      </c>
      <c r="EL4" s="218" t="s">
        <v>82</v>
      </c>
      <c r="EM4" s="209" t="s">
        <v>80</v>
      </c>
      <c r="EN4" s="209" t="s">
        <v>81</v>
      </c>
      <c r="EO4" s="210" t="s">
        <v>82</v>
      </c>
      <c r="EP4" s="208" t="s">
        <v>80</v>
      </c>
      <c r="EQ4" s="209" t="s">
        <v>81</v>
      </c>
      <c r="ER4" s="210" t="s">
        <v>82</v>
      </c>
      <c r="ES4" s="208" t="s">
        <v>80</v>
      </c>
      <c r="ET4" s="209" t="s">
        <v>81</v>
      </c>
      <c r="EU4" s="218" t="s">
        <v>82</v>
      </c>
      <c r="EV4" s="1"/>
      <c r="EW4" s="1"/>
    </row>
    <row r="5" spans="1:153" x14ac:dyDescent="0.2">
      <c r="A5" s="3" t="s">
        <v>4</v>
      </c>
      <c r="B5">
        <v>1168</v>
      </c>
      <c r="C5">
        <v>23</v>
      </c>
      <c r="D5">
        <v>1.67</v>
      </c>
      <c r="E5">
        <v>0.13</v>
      </c>
      <c r="F5" t="s">
        <v>7</v>
      </c>
      <c r="G5" t="s">
        <v>124</v>
      </c>
      <c r="H5" s="20"/>
      <c r="I5" s="21"/>
      <c r="J5">
        <v>152</v>
      </c>
      <c r="K5" s="34">
        <f xml:space="preserve"> 0.121 * 6 * 110.16</f>
        <v>79.976159999999993</v>
      </c>
      <c r="L5" s="34">
        <f xml:space="preserve"> 0.165 * 6 * 110.16</f>
        <v>109.05839999999999</v>
      </c>
      <c r="M5" s="34">
        <f xml:space="preserve"> 0.209 * 6 * 110.16</f>
        <v>138.14063999999999</v>
      </c>
      <c r="N5">
        <v>1.67</v>
      </c>
      <c r="O5" s="27">
        <f>$J5*$K5*$N5</f>
        <v>20301.148454399998</v>
      </c>
      <c r="P5" s="27">
        <f>J5*L5*N5</f>
        <v>27683.384255999998</v>
      </c>
      <c r="Q5" s="27">
        <f>$J5*$M5*$N5</f>
        <v>35065.62005759999</v>
      </c>
      <c r="R5" s="27">
        <f>$O5+$O6+$O7+$O8+$O9+$O10+$O11+$O12+$O13+$O14+$O15+$O16+$O17+$O18+$O19+$O20+$O21+$O22</f>
        <v>403981.97748479992</v>
      </c>
      <c r="S5" s="27">
        <f>P5+P6+P7+P8+P9+P10+P11+P12+P13+P14+P15+P16+P17+P18+P19+P20+P21+P22</f>
        <v>550884.5147520001</v>
      </c>
      <c r="T5" s="27">
        <f>$Q5+$Q6+$Q7+$Q8+$Q9+$Q10+$Q11+$Q12+$Q13+$Q14+$Q15+$Q16+$Q17+$Q18+$Q19+$Q20+$Q21+$Q22</f>
        <v>697787.05201919982</v>
      </c>
      <c r="U5" s="18"/>
      <c r="V5">
        <v>2.3999999999999998E-3</v>
      </c>
      <c r="W5">
        <v>0.99760000000000004</v>
      </c>
      <c r="X5" s="94">
        <f xml:space="preserve"> O5 * V5</f>
        <v>48.722756290559992</v>
      </c>
      <c r="Y5" s="94">
        <f xml:space="preserve"> P5 * V5</f>
        <v>66.440122214399992</v>
      </c>
      <c r="Z5" s="94">
        <f xml:space="preserve"> Q5 * V5</f>
        <v>84.15748813823997</v>
      </c>
      <c r="AA5" s="94">
        <f xml:space="preserve"> O5 * W5</f>
        <v>20252.425698109437</v>
      </c>
      <c r="AB5" s="94">
        <f xml:space="preserve"> P5 * W5</f>
        <v>27616.944133785597</v>
      </c>
      <c r="AC5" s="94">
        <f xml:space="preserve"> Q5 * W5</f>
        <v>34981.46256946175</v>
      </c>
      <c r="AD5" s="27">
        <f xml:space="preserve"> R5 * V5</f>
        <v>969.55674596351969</v>
      </c>
      <c r="AE5" s="27">
        <f xml:space="preserve"> S5 * V5</f>
        <v>1322.1228354048001</v>
      </c>
      <c r="AF5" s="27">
        <f xml:space="preserve"> T5 * V5</f>
        <v>1674.6889248460793</v>
      </c>
      <c r="AG5" s="27">
        <f xml:space="preserve"> R5 * W5</f>
        <v>403012.4207388364</v>
      </c>
      <c r="AH5" s="27">
        <f xml:space="preserve"> S5 * W5</f>
        <v>549562.39191659528</v>
      </c>
      <c r="AI5" s="27">
        <f xml:space="preserve"> T5 * W5</f>
        <v>696112.36309435382</v>
      </c>
      <c r="AJ5" s="18"/>
      <c r="AK5">
        <v>160</v>
      </c>
      <c r="AL5" s="34">
        <f>$AK5/8760</f>
        <v>1.8264840182648401E-2</v>
      </c>
      <c r="AM5" s="34">
        <f t="shared" ref="AM5:AM22" si="0">1- AL5</f>
        <v>0.9817351598173516</v>
      </c>
      <c r="AN5" s="94">
        <f>$AA5*$AL5</f>
        <v>369.90731868693035</v>
      </c>
      <c r="AO5" s="94">
        <f xml:space="preserve"> AN5 / 2</f>
        <v>184.95365934346518</v>
      </c>
      <c r="AP5" s="94">
        <f>$AA5*$AM5 + AO5</f>
        <v>20067.472038765969</v>
      </c>
      <c r="AQ5" s="27">
        <f xml:space="preserve"> SUM(AO5:AO22)</f>
        <v>2111.5755593676768</v>
      </c>
      <c r="AR5" s="27">
        <f xml:space="preserve"> SUM(AP5:AP22)</f>
        <v>400900.84517946886</v>
      </c>
      <c r="AS5" s="94">
        <f>$AL5*$AB5</f>
        <v>504.41907093672319</v>
      </c>
      <c r="AT5" s="94">
        <f xml:space="preserve"> AS5 / 2</f>
        <v>252.20953546836159</v>
      </c>
      <c r="AU5" s="27">
        <f>$AM5*$AB5 + AT5</f>
        <v>27364.734598317234</v>
      </c>
      <c r="AV5" s="27">
        <f xml:space="preserve"> SUM(AT5:AT22)</f>
        <v>2879.4212173195588</v>
      </c>
      <c r="AW5" s="27">
        <f>$AU5+$AU6+$AU7+$AU8+$AU9+$AU10+$AU11+$AU12+$AU13+$AU14+$AU15+$AU16+$AU17+$AU18+$AU19+$AU20+$AU21+$AU22</f>
        <v>546682.97069927561</v>
      </c>
      <c r="AX5" s="94">
        <f>$AL5*$AC5</f>
        <v>638.93082318651591</v>
      </c>
      <c r="AY5" s="94">
        <f xml:space="preserve"> AX5 / 2</f>
        <v>319.46541159325795</v>
      </c>
      <c r="AZ5" s="27">
        <f>$AM5*$AC5 + AY5</f>
        <v>34661.997157868493</v>
      </c>
      <c r="BA5" s="27">
        <f>SUM(AY5:AY22)</f>
        <v>3647.2668752714421</v>
      </c>
      <c r="BB5" s="27">
        <f>$AZ5+$AZ6+$AZ7+$AZ8+$AZ9+$AZ10+$AZ11+$AZ12+$AZ13+$AZ14+$AZ15+$AZ16+$AZ17+$AZ18+$AZ19+$AZ20+$AZ21+$AZ22</f>
        <v>692465.0962190826</v>
      </c>
      <c r="BC5" s="18"/>
      <c r="BD5" s="34">
        <v>0.1152</v>
      </c>
      <c r="BE5" s="34">
        <v>5.4199999999999998E-2</v>
      </c>
      <c r="BF5">
        <v>2.3E-2</v>
      </c>
      <c r="BG5" s="47">
        <f>$AR5*$BD5</f>
        <v>46183.77736467481</v>
      </c>
      <c r="BH5" s="27">
        <f>$AR5*$BE5</f>
        <v>21728.825808727212</v>
      </c>
      <c r="BI5" s="27">
        <f>$AR5*$BF5</f>
        <v>9220.7194391277844</v>
      </c>
      <c r="BJ5" s="47">
        <f>$AW5*$BD5</f>
        <v>62977.878224556545</v>
      </c>
      <c r="BK5" s="27">
        <f>$AW5*$BE5</f>
        <v>29630.217011900739</v>
      </c>
      <c r="BL5" s="27">
        <f>$AW5*$BF5</f>
        <v>12573.708326083339</v>
      </c>
      <c r="BM5" s="47">
        <f>$BB5*$BD5</f>
        <v>79771.97908443831</v>
      </c>
      <c r="BN5" s="27">
        <f>$BB5*$BE5</f>
        <v>37531.608215074273</v>
      </c>
      <c r="BO5" s="27">
        <f>$BB5*$BF5</f>
        <v>15926.697213038899</v>
      </c>
      <c r="BP5" s="117"/>
      <c r="BQ5" s="34">
        <f xml:space="preserve"> 1 - BD5</f>
        <v>0.88480000000000003</v>
      </c>
      <c r="BR5" s="34">
        <f xml:space="preserve"> 1 - BE5</f>
        <v>0.94579999999999997</v>
      </c>
      <c r="BS5">
        <f xml:space="preserve"> 1 - BF5</f>
        <v>0.97699999999999998</v>
      </c>
      <c r="BT5" s="47">
        <f xml:space="preserve"> AR5 * BQ5</f>
        <v>354717.06781479408</v>
      </c>
      <c r="BU5" s="27">
        <f xml:space="preserve"> AR5 * BR5</f>
        <v>379172.01937074162</v>
      </c>
      <c r="BV5" s="27">
        <f xml:space="preserve"> AR5 * BS5</f>
        <v>391680.12574034109</v>
      </c>
      <c r="BW5" s="47">
        <f xml:space="preserve"> AW5 * BQ5</f>
        <v>483705.0924747191</v>
      </c>
      <c r="BX5" s="27">
        <f xml:space="preserve"> AW5 * BR5</f>
        <v>517052.75368737488</v>
      </c>
      <c r="BY5" s="27">
        <f xml:space="preserve"> AW5 * BS5</f>
        <v>534109.26237319224</v>
      </c>
      <c r="BZ5" s="47">
        <f xml:space="preserve"> BB5 * BQ5</f>
        <v>612693.1171346443</v>
      </c>
      <c r="CA5" s="27">
        <f xml:space="preserve"> BB5 * BR5</f>
        <v>654933.48800400831</v>
      </c>
      <c r="CB5" s="27">
        <f xml:space="preserve"> BB5 * BS5</f>
        <v>676538.39900604368</v>
      </c>
      <c r="CC5" s="121"/>
      <c r="CD5">
        <f xml:space="preserve"> 1 - 0.32</f>
        <v>0.67999999999999994</v>
      </c>
      <c r="CE5">
        <f>1-0.68</f>
        <v>0.31999999999999995</v>
      </c>
      <c r="CF5" s="27">
        <f xml:space="preserve"> BT5 * CD5</f>
        <v>241207.60611405995</v>
      </c>
      <c r="CG5" s="27">
        <f xml:space="preserve"> BT5 * CE5</f>
        <v>113509.46170073409</v>
      </c>
      <c r="CH5" s="27">
        <f xml:space="preserve"> BU5 * CD5</f>
        <v>257836.97317210428</v>
      </c>
      <c r="CI5" s="27">
        <f xml:space="preserve"> BU5 * CE5</f>
        <v>121335.0461986373</v>
      </c>
      <c r="CJ5" s="27">
        <f xml:space="preserve"> BV5 * CD5</f>
        <v>266342.48550343193</v>
      </c>
      <c r="CK5" s="27">
        <f xml:space="preserve"> BV5 * CE5</f>
        <v>125337.64023690912</v>
      </c>
      <c r="CL5" s="27">
        <f xml:space="preserve"> BW5 * CD5</f>
        <v>328919.46288280893</v>
      </c>
      <c r="CM5" s="27">
        <f xml:space="preserve"> BW5 * CE5</f>
        <v>154785.62959191008</v>
      </c>
      <c r="CN5" s="27">
        <f xml:space="preserve"> BX5 * CD5</f>
        <v>351595.8725074149</v>
      </c>
      <c r="CO5" s="27">
        <f xml:space="preserve"> BX5 * CE5</f>
        <v>165456.88117995992</v>
      </c>
      <c r="CP5" s="27">
        <f xml:space="preserve"> BY5 * CD5</f>
        <v>363194.29841377068</v>
      </c>
      <c r="CQ5" s="27">
        <f xml:space="preserve"> BY5 * CE5</f>
        <v>170914.9639594215</v>
      </c>
      <c r="CR5" s="27">
        <f xml:space="preserve"> BZ5 * CD5</f>
        <v>416631.31965155806</v>
      </c>
      <c r="CS5" s="27">
        <f xml:space="preserve"> BZ5 * CE5</f>
        <v>196061.79748308615</v>
      </c>
      <c r="CT5" s="27">
        <f xml:space="preserve"> CA5 * CD5</f>
        <v>445354.77184272563</v>
      </c>
      <c r="CU5" s="27">
        <f xml:space="preserve"> CA5 * CE5</f>
        <v>209578.71616128262</v>
      </c>
      <c r="CV5" s="27">
        <f xml:space="preserve"> CB5 * CD5</f>
        <v>460046.11132410966</v>
      </c>
      <c r="CW5" s="27">
        <f xml:space="preserve"> CB5 * CE5</f>
        <v>216492.28768193396</v>
      </c>
      <c r="CX5" s="121"/>
      <c r="CY5">
        <f xml:space="preserve"> 1 - 0.01</f>
        <v>0.99</v>
      </c>
      <c r="CZ5">
        <v>0.73</v>
      </c>
      <c r="DA5" s="27">
        <f xml:space="preserve"> CF5 * CY5</f>
        <v>238795.53005291935</v>
      </c>
      <c r="DB5" s="27">
        <f xml:space="preserve"> CH5 * CY5</f>
        <v>255258.60344038325</v>
      </c>
      <c r="DC5" s="27">
        <f xml:space="preserve"> CJ5 * CY5</f>
        <v>263679.0606483976</v>
      </c>
      <c r="DD5" s="27">
        <f xml:space="preserve"> CL5 * CY5</f>
        <v>325630.26825398084</v>
      </c>
      <c r="DE5" s="27">
        <f xml:space="preserve"> CN5 * CY5</f>
        <v>348079.91378234077</v>
      </c>
      <c r="DF5" s="27">
        <f xml:space="preserve"> CP5 * CY5</f>
        <v>359562.355429633</v>
      </c>
      <c r="DG5" s="27">
        <f xml:space="preserve"> CR5 * CY5</f>
        <v>412465.00645504246</v>
      </c>
      <c r="DH5" s="27">
        <f xml:space="preserve"> CT5 * CY5</f>
        <v>440901.22412429837</v>
      </c>
      <c r="DI5" s="27">
        <f xml:space="preserve"> CV5 * CY5</f>
        <v>455445.65021086857</v>
      </c>
      <c r="DJ5" s="27">
        <f xml:space="preserve"> CF5 * CZ5</f>
        <v>176081.55246326377</v>
      </c>
      <c r="DK5" s="27">
        <f xml:space="preserve"> CH5 * CZ5</f>
        <v>188220.99041563613</v>
      </c>
      <c r="DL5" s="27">
        <f xml:space="preserve"> CJ5 * CZ5</f>
        <v>194430.0144175053</v>
      </c>
      <c r="DM5" s="27">
        <f xml:space="preserve"> CL5 * CZ5</f>
        <v>240111.20790445051</v>
      </c>
      <c r="DN5" s="27">
        <f xml:space="preserve"> CN5 * CZ5</f>
        <v>256664.98693041288</v>
      </c>
      <c r="DO5" s="27">
        <f xml:space="preserve"> CP5 * CZ5</f>
        <v>265131.83784205257</v>
      </c>
      <c r="DP5" s="27">
        <f xml:space="preserve"> CR5 * CZ5</f>
        <v>304140.86334563739</v>
      </c>
      <c r="DQ5" s="27">
        <f xml:space="preserve"> CT5 * CZ5</f>
        <v>325108.98344518972</v>
      </c>
      <c r="DR5" s="27">
        <f xml:space="preserve"> CV5 * CZ5</f>
        <v>335833.66126660007</v>
      </c>
      <c r="DS5" s="121"/>
      <c r="DT5" s="27">
        <f>$BG5+$AQ5</f>
        <v>48295.352924042483</v>
      </c>
      <c r="DU5" s="27">
        <f>$BH5+$AQ5</f>
        <v>23840.401368094888</v>
      </c>
      <c r="DV5" s="27">
        <f>$BI5+$AQ5</f>
        <v>11332.294998495461</v>
      </c>
      <c r="DW5" s="47">
        <f>$BJ5+$AV5</f>
        <v>65857.299441876108</v>
      </c>
      <c r="DX5" s="27">
        <f>$BK5+$AV5</f>
        <v>32509.638229220298</v>
      </c>
      <c r="DY5" s="42">
        <f>$BL5+$AV5</f>
        <v>15453.129543402898</v>
      </c>
      <c r="DZ5" s="54">
        <f>$BA5+$BM5</f>
        <v>83419.245959709748</v>
      </c>
      <c r="EA5" s="42">
        <f>$BA5+$BN5</f>
        <v>41178.875090345718</v>
      </c>
      <c r="EB5" s="42">
        <f>$BA5+$BO5</f>
        <v>19573.964088310342</v>
      </c>
      <c r="EC5" s="121"/>
      <c r="ED5" s="177">
        <f xml:space="preserve"> DJ5 + DT5</f>
        <v>224376.90538730624</v>
      </c>
      <c r="EE5" s="177">
        <f xml:space="preserve"> DK5 + DU5</f>
        <v>212061.39178373103</v>
      </c>
      <c r="EF5" s="177">
        <f>DL5 + DV5</f>
        <v>205762.30941600076</v>
      </c>
      <c r="EG5" s="211">
        <f t="shared" ref="EG5:EL5" si="1" xml:space="preserve"> DM5 + DW5</f>
        <v>305968.5073463266</v>
      </c>
      <c r="EH5" s="177">
        <f t="shared" si="1"/>
        <v>289174.62515963317</v>
      </c>
      <c r="EI5" s="212">
        <f t="shared" si="1"/>
        <v>280584.96738545544</v>
      </c>
      <c r="EJ5" s="213">
        <f t="shared" si="1"/>
        <v>387560.10930534714</v>
      </c>
      <c r="EK5" s="212">
        <f t="shared" si="1"/>
        <v>366287.85853553546</v>
      </c>
      <c r="EL5" s="219">
        <f t="shared" si="1"/>
        <v>355407.62535491039</v>
      </c>
      <c r="EM5" s="177">
        <f xml:space="preserve"> DT5 + DA5</f>
        <v>287090.88297696185</v>
      </c>
      <c r="EN5" s="177">
        <f xml:space="preserve"> DB5 + DU5</f>
        <v>279099.00480847812</v>
      </c>
      <c r="EO5" s="177">
        <f xml:space="preserve"> DV5 + DC5</f>
        <v>275011.35564689303</v>
      </c>
      <c r="EP5" s="211">
        <f xml:space="preserve"> DD5 + DW5</f>
        <v>391487.56769585697</v>
      </c>
      <c r="EQ5" s="177">
        <f xml:space="preserve"> DE5 + DX5</f>
        <v>380589.55201156106</v>
      </c>
      <c r="ER5" s="212">
        <f xml:space="preserve"> DF5 + DY5</f>
        <v>375015.48497303587</v>
      </c>
      <c r="ES5" s="213">
        <f xml:space="preserve"> DG5 + DZ5</f>
        <v>495884.25241475221</v>
      </c>
      <c r="ET5" s="212">
        <f xml:space="preserve"> DH5 +EA5</f>
        <v>482080.09921464411</v>
      </c>
      <c r="EU5" s="219">
        <f xml:space="preserve"> DI5 + EB5</f>
        <v>475019.61429917894</v>
      </c>
    </row>
    <row r="6" spans="1:153" x14ac:dyDescent="0.2">
      <c r="A6" s="3" t="s">
        <v>8</v>
      </c>
      <c r="B6">
        <v>1128</v>
      </c>
      <c r="C6">
        <v>41</v>
      </c>
      <c r="D6">
        <v>2.71</v>
      </c>
      <c r="E6">
        <v>0.65</v>
      </c>
      <c r="F6" t="s">
        <v>13</v>
      </c>
      <c r="G6" t="s">
        <v>11</v>
      </c>
      <c r="H6" s="20"/>
      <c r="I6" s="21"/>
      <c r="J6">
        <v>798</v>
      </c>
      <c r="K6" s="34">
        <f t="shared" ref="K6:K22" si="2" xml:space="preserve"> 0.121 * 6 * 110.16</f>
        <v>79.976159999999993</v>
      </c>
      <c r="L6" s="34">
        <f t="shared" ref="L6:L22" si="3" xml:space="preserve"> 0.165 * 6 * 110.16</f>
        <v>109.05839999999999</v>
      </c>
      <c r="M6" s="34">
        <f t="shared" ref="M6:M22" si="4" xml:space="preserve"> 0.209 *6 * 110.16</f>
        <v>138.14063999999999</v>
      </c>
      <c r="N6">
        <v>0.65</v>
      </c>
      <c r="O6" s="27">
        <f t="shared" ref="O6:O22" si="5">$J6*$K6*$N6</f>
        <v>41483.634191999998</v>
      </c>
      <c r="P6" s="27">
        <f>J6*L6*N6</f>
        <v>56568.592080000002</v>
      </c>
      <c r="Q6" s="27">
        <f t="shared" ref="Q6:Q22" si="6">$J6*$M6*$N6</f>
        <v>71653.549967999992</v>
      </c>
      <c r="R6" s="27"/>
      <c r="S6" s="27"/>
      <c r="T6" s="27"/>
      <c r="U6" s="18"/>
      <c r="V6">
        <v>2.3999999999999998E-3</v>
      </c>
      <c r="W6">
        <v>0.99760000000000004</v>
      </c>
      <c r="X6" s="94">
        <f t="shared" ref="X6:X22" si="7" xml:space="preserve"> O6 * V6</f>
        <v>99.560722060799989</v>
      </c>
      <c r="Y6" s="94">
        <f t="shared" ref="Y6:Y22" si="8" xml:space="preserve"> P6 * V6</f>
        <v>135.764620992</v>
      </c>
      <c r="Z6" s="94">
        <f t="shared" ref="Z6:Z22" si="9" xml:space="preserve"> Q6 * V6</f>
        <v>171.96851992319998</v>
      </c>
      <c r="AA6" s="94">
        <f t="shared" ref="AA6:AA22" si="10" xml:space="preserve"> O6 * W6</f>
        <v>41384.073469939198</v>
      </c>
      <c r="AB6" s="94">
        <f t="shared" ref="AB6:AB22" si="11" xml:space="preserve"> P6 * W6</f>
        <v>56432.827459008004</v>
      </c>
      <c r="AC6" s="94">
        <f t="shared" ref="AC6:AC22" si="12" xml:space="preserve"> Q6 * W6</f>
        <v>71481.581448076802</v>
      </c>
      <c r="AJ6" s="18"/>
      <c r="AK6">
        <v>0</v>
      </c>
      <c r="AL6" s="34">
        <f t="shared" ref="AL6:AL21" si="13">$AK6/8760</f>
        <v>0</v>
      </c>
      <c r="AM6" s="34">
        <f t="shared" si="0"/>
        <v>1</v>
      </c>
      <c r="AN6" s="94">
        <f t="shared" ref="AN6:AN22" si="14">$AA6*$AL6</f>
        <v>0</v>
      </c>
      <c r="AO6" s="94">
        <f t="shared" ref="AO6:AO22" si="15" xml:space="preserve"> AN6 / 2</f>
        <v>0</v>
      </c>
      <c r="AP6" s="94">
        <f t="shared" ref="AP6:AP22" si="16">$AA6*$AM6 + AO6</f>
        <v>41384.073469939198</v>
      </c>
      <c r="AQ6" s="27"/>
      <c r="AR6" s="27"/>
      <c r="AS6" s="94">
        <f t="shared" ref="AS6:AS22" si="17">$AL6*$AB6</f>
        <v>0</v>
      </c>
      <c r="AT6" s="94">
        <f t="shared" ref="AT6:AT22" si="18" xml:space="preserve"> AS6 / 2</f>
        <v>0</v>
      </c>
      <c r="AU6" s="27">
        <f t="shared" ref="AU6:AU22" si="19">$AM6*$AB6 + AT6</f>
        <v>56432.827459008004</v>
      </c>
      <c r="AV6" s="27"/>
      <c r="AW6" s="27"/>
      <c r="AX6" s="94">
        <f t="shared" ref="AX6:AX22" si="20">$AL6*$AC6</f>
        <v>0</v>
      </c>
      <c r="AY6" s="94">
        <f t="shared" ref="AY6:AY22" si="21" xml:space="preserve"> AX6 / 2</f>
        <v>0</v>
      </c>
      <c r="AZ6" s="27">
        <f t="shared" ref="AZ6:AZ22" si="22">$AM6*$AC6 + AY6</f>
        <v>71481.581448076802</v>
      </c>
      <c r="BA6" s="27"/>
      <c r="BB6" s="27"/>
      <c r="BC6" s="18"/>
      <c r="BG6" s="3"/>
      <c r="BJ6" s="3"/>
      <c r="BM6" s="3"/>
      <c r="BP6" s="117"/>
      <c r="BT6" s="3"/>
      <c r="BW6" s="3"/>
      <c r="BZ6" s="3"/>
      <c r="CC6" s="121"/>
      <c r="CF6" s="27"/>
      <c r="CG6" s="27"/>
      <c r="CH6" s="27"/>
      <c r="CI6" s="27"/>
      <c r="CJ6" s="27"/>
      <c r="CK6" s="27"/>
      <c r="CL6" s="27"/>
      <c r="CM6" s="27"/>
      <c r="CN6" s="27"/>
      <c r="CO6" s="27"/>
      <c r="CP6" s="27"/>
      <c r="CQ6" s="27"/>
      <c r="CR6" s="27"/>
      <c r="CS6" s="27"/>
      <c r="CT6" s="27"/>
      <c r="CU6" s="27"/>
      <c r="CV6" s="27"/>
      <c r="CW6" s="27"/>
      <c r="CX6" s="121"/>
      <c r="DA6" s="27"/>
      <c r="DB6" s="27"/>
      <c r="DC6" s="27"/>
      <c r="DD6" s="27"/>
      <c r="DE6" s="27"/>
      <c r="DF6" s="27"/>
      <c r="DG6" s="27"/>
      <c r="DH6" s="27"/>
      <c r="DI6" s="27"/>
      <c r="DJ6" s="27"/>
      <c r="DK6" s="27"/>
      <c r="DL6" s="27"/>
      <c r="DM6" s="27"/>
      <c r="DN6" s="27"/>
      <c r="DO6" s="27"/>
      <c r="DP6" s="27"/>
      <c r="DQ6" s="27"/>
      <c r="DR6" s="27"/>
      <c r="DS6" s="121"/>
      <c r="DW6" s="3"/>
      <c r="DY6" s="38"/>
      <c r="DZ6" s="55"/>
      <c r="EA6" s="38"/>
      <c r="EB6" s="38"/>
      <c r="EC6" s="121"/>
      <c r="EG6" s="211"/>
      <c r="EI6" s="212"/>
      <c r="EJ6" s="213"/>
      <c r="EK6" s="212"/>
      <c r="EL6" s="219"/>
      <c r="EP6" s="211"/>
      <c r="ER6" s="212"/>
      <c r="ES6" s="213"/>
      <c r="ET6" s="212"/>
      <c r="EU6" s="219"/>
    </row>
    <row r="7" spans="1:153" x14ac:dyDescent="0.2">
      <c r="A7" s="3" t="s">
        <v>10</v>
      </c>
      <c r="B7">
        <v>1869</v>
      </c>
      <c r="C7">
        <v>704</v>
      </c>
      <c r="D7">
        <v>2.25</v>
      </c>
      <c r="F7" t="s">
        <v>14</v>
      </c>
      <c r="G7" t="s">
        <v>125</v>
      </c>
      <c r="H7" s="20"/>
      <c r="I7" s="21"/>
      <c r="J7">
        <v>704</v>
      </c>
      <c r="K7" s="34">
        <f t="shared" si="2"/>
        <v>79.976159999999993</v>
      </c>
      <c r="L7" s="34">
        <f t="shared" si="3"/>
        <v>109.05839999999999</v>
      </c>
      <c r="M7" s="34">
        <f t="shared" si="4"/>
        <v>138.14063999999999</v>
      </c>
      <c r="N7">
        <v>2.25</v>
      </c>
      <c r="O7" s="27">
        <f t="shared" si="5"/>
        <v>126682.23744</v>
      </c>
      <c r="P7" s="27">
        <f t="shared" ref="P7:P22" si="23">J7*L7*N7</f>
        <v>172748.5056</v>
      </c>
      <c r="Q7" s="27">
        <f t="shared" si="6"/>
        <v>218814.77375999998</v>
      </c>
      <c r="R7" s="27"/>
      <c r="S7" s="27"/>
      <c r="T7" s="27"/>
      <c r="U7" s="18"/>
      <c r="V7">
        <v>2.3999999999999998E-3</v>
      </c>
      <c r="W7">
        <v>0.99760000000000004</v>
      </c>
      <c r="X7" s="94">
        <f t="shared" si="7"/>
        <v>304.03736985599994</v>
      </c>
      <c r="Y7" s="94">
        <f t="shared" si="8"/>
        <v>414.59641343999999</v>
      </c>
      <c r="Z7" s="94">
        <f t="shared" si="9"/>
        <v>525.15545702399993</v>
      </c>
      <c r="AA7" s="94">
        <f t="shared" si="10"/>
        <v>126378.200070144</v>
      </c>
      <c r="AB7" s="94">
        <f t="shared" si="11"/>
        <v>172333.90918656002</v>
      </c>
      <c r="AC7" s="94">
        <f t="shared" si="12"/>
        <v>218289.61830297598</v>
      </c>
      <c r="AJ7" s="18"/>
      <c r="AK7">
        <v>4</v>
      </c>
      <c r="AL7" s="34">
        <f t="shared" si="13"/>
        <v>4.5662100456621003E-4</v>
      </c>
      <c r="AM7" s="34">
        <f t="shared" si="0"/>
        <v>0.99954337899543377</v>
      </c>
      <c r="AN7" s="94">
        <f t="shared" si="14"/>
        <v>57.706940671298625</v>
      </c>
      <c r="AO7" s="94">
        <f t="shared" si="15"/>
        <v>28.853470335649313</v>
      </c>
      <c r="AP7" s="94">
        <f t="shared" si="16"/>
        <v>126349.34659980836</v>
      </c>
      <c r="AQ7" s="27"/>
      <c r="AR7" s="27"/>
      <c r="AS7" s="94">
        <f t="shared" si="17"/>
        <v>78.691282733589048</v>
      </c>
      <c r="AT7" s="94">
        <f t="shared" si="18"/>
        <v>39.345641366794524</v>
      </c>
      <c r="AU7" s="27">
        <f t="shared" si="19"/>
        <v>172294.5635451932</v>
      </c>
      <c r="AV7" s="27"/>
      <c r="AW7" s="27"/>
      <c r="AX7" s="94">
        <f t="shared" si="20"/>
        <v>99.675624795879443</v>
      </c>
      <c r="AY7" s="94">
        <f t="shared" si="21"/>
        <v>49.837812397939722</v>
      </c>
      <c r="AZ7" s="27">
        <f t="shared" si="22"/>
        <v>218239.78049057806</v>
      </c>
      <c r="BA7" s="27"/>
      <c r="BB7" s="27"/>
      <c r="BC7" s="18"/>
      <c r="BG7" s="3"/>
      <c r="BJ7" s="3"/>
      <c r="BM7" s="3"/>
      <c r="BP7" s="117"/>
      <c r="BT7" s="3"/>
      <c r="BW7" s="3"/>
      <c r="BZ7" s="3"/>
      <c r="CC7" s="121"/>
      <c r="CF7" s="27"/>
      <c r="CG7" s="27"/>
      <c r="CH7" s="27"/>
      <c r="CI7" s="27"/>
      <c r="CJ7" s="27"/>
      <c r="CK7" s="27"/>
      <c r="CL7" s="27"/>
      <c r="CM7" s="27"/>
      <c r="CN7" s="27"/>
      <c r="CO7" s="27"/>
      <c r="CP7" s="27"/>
      <c r="CQ7" s="27"/>
      <c r="CR7" s="27"/>
      <c r="CS7" s="27"/>
      <c r="CT7" s="27"/>
      <c r="CU7" s="27"/>
      <c r="CV7" s="27"/>
      <c r="CW7" s="27"/>
      <c r="CX7" s="121"/>
      <c r="DA7" s="27"/>
      <c r="DB7" s="27"/>
      <c r="DC7" s="27"/>
      <c r="DD7" s="27"/>
      <c r="DE7" s="27"/>
      <c r="DF7" s="27"/>
      <c r="DG7" s="27"/>
      <c r="DH7" s="27"/>
      <c r="DI7" s="27"/>
      <c r="DJ7" s="27"/>
      <c r="DK7" s="27"/>
      <c r="DL7" s="27"/>
      <c r="DM7" s="27"/>
      <c r="DN7" s="27"/>
      <c r="DO7" s="27"/>
      <c r="DP7" s="27"/>
      <c r="DQ7" s="27"/>
      <c r="DR7" s="27"/>
      <c r="DS7" s="121"/>
      <c r="DW7" s="3"/>
      <c r="DY7" s="38"/>
      <c r="DZ7" s="55"/>
      <c r="EA7" s="38"/>
      <c r="EB7" s="38"/>
      <c r="EC7" s="121"/>
      <c r="EG7" s="211"/>
      <c r="EI7" s="212"/>
      <c r="EJ7" s="213"/>
      <c r="EK7" s="212"/>
      <c r="EL7" s="219"/>
      <c r="EP7" s="211"/>
      <c r="ER7" s="212"/>
      <c r="ES7" s="213"/>
      <c r="ET7" s="212"/>
      <c r="EU7" s="219"/>
    </row>
    <row r="8" spans="1:153" x14ac:dyDescent="0.2">
      <c r="A8" s="3" t="s">
        <v>12</v>
      </c>
      <c r="B8">
        <v>1239</v>
      </c>
      <c r="C8">
        <v>1221</v>
      </c>
      <c r="D8">
        <v>0.17</v>
      </c>
      <c r="F8" t="s">
        <v>15</v>
      </c>
      <c r="G8" t="s">
        <v>126</v>
      </c>
      <c r="H8" s="20"/>
      <c r="I8" s="21"/>
      <c r="J8">
        <v>211</v>
      </c>
      <c r="K8" s="34">
        <f t="shared" si="2"/>
        <v>79.976159999999993</v>
      </c>
      <c r="L8" s="34">
        <f t="shared" si="3"/>
        <v>109.05839999999999</v>
      </c>
      <c r="M8" s="34">
        <f t="shared" si="4"/>
        <v>138.14063999999999</v>
      </c>
      <c r="N8">
        <v>0.17</v>
      </c>
      <c r="O8" s="27">
        <f t="shared" si="5"/>
        <v>2868.7448592000001</v>
      </c>
      <c r="P8" s="27">
        <f t="shared" si="23"/>
        <v>3911.9248079999998</v>
      </c>
      <c r="Q8" s="27">
        <f t="shared" si="6"/>
        <v>4955.1047568000004</v>
      </c>
      <c r="R8" s="27"/>
      <c r="S8" s="27"/>
      <c r="T8" s="27"/>
      <c r="U8" s="18"/>
      <c r="V8">
        <v>2.3999999999999998E-3</v>
      </c>
      <c r="W8">
        <v>0.99760000000000004</v>
      </c>
      <c r="X8" s="94">
        <f t="shared" si="7"/>
        <v>6.8849876620799995</v>
      </c>
      <c r="Y8" s="94">
        <f t="shared" si="8"/>
        <v>9.3886195391999987</v>
      </c>
      <c r="Z8" s="94">
        <f t="shared" si="9"/>
        <v>11.892251416320001</v>
      </c>
      <c r="AA8" s="94">
        <f t="shared" si="10"/>
        <v>2861.8598715379203</v>
      </c>
      <c r="AB8" s="94">
        <f t="shared" si="11"/>
        <v>3902.5361884608001</v>
      </c>
      <c r="AC8" s="94">
        <f t="shared" si="12"/>
        <v>4943.2125053836808</v>
      </c>
      <c r="AJ8" s="18"/>
      <c r="AK8">
        <v>266</v>
      </c>
      <c r="AL8" s="34">
        <f t="shared" si="13"/>
        <v>3.0365296803652967E-2</v>
      </c>
      <c r="AM8" s="34">
        <f t="shared" si="0"/>
        <v>0.96963470319634704</v>
      </c>
      <c r="AN8" s="94">
        <f t="shared" si="14"/>
        <v>86.901224409713109</v>
      </c>
      <c r="AO8" s="94">
        <f t="shared" si="15"/>
        <v>43.450612204856554</v>
      </c>
      <c r="AP8" s="94">
        <f t="shared" si="16"/>
        <v>2818.4092593330638</v>
      </c>
      <c r="AQ8" s="27"/>
      <c r="AR8" s="27"/>
      <c r="AS8" s="94">
        <f t="shared" si="17"/>
        <v>118.50166964960877</v>
      </c>
      <c r="AT8" s="94">
        <f t="shared" si="18"/>
        <v>59.250834824804386</v>
      </c>
      <c r="AU8" s="27">
        <f t="shared" si="19"/>
        <v>3843.2853536359958</v>
      </c>
      <c r="AV8" s="27"/>
      <c r="AW8" s="27"/>
      <c r="AX8" s="94">
        <f t="shared" si="20"/>
        <v>150.10211488950446</v>
      </c>
      <c r="AY8" s="94">
        <f t="shared" si="21"/>
        <v>75.051057444752232</v>
      </c>
      <c r="AZ8" s="27">
        <f t="shared" si="22"/>
        <v>4868.1614479389291</v>
      </c>
      <c r="BA8" s="27"/>
      <c r="BB8" s="27"/>
      <c r="BC8" s="18"/>
      <c r="BG8" s="3"/>
      <c r="BJ8" s="3"/>
      <c r="BM8" s="3"/>
      <c r="BP8" s="117"/>
      <c r="BT8" s="3"/>
      <c r="BW8" s="3"/>
      <c r="BZ8" s="3"/>
      <c r="CC8" s="121"/>
      <c r="CF8" s="27"/>
      <c r="CG8" s="27"/>
      <c r="CH8" s="27"/>
      <c r="CI8" s="27"/>
      <c r="CJ8" s="27"/>
      <c r="CK8" s="27"/>
      <c r="CL8" s="27"/>
      <c r="CM8" s="27"/>
      <c r="CN8" s="27"/>
      <c r="CO8" s="27"/>
      <c r="CP8" s="27"/>
      <c r="CQ8" s="27"/>
      <c r="CR8" s="27"/>
      <c r="CS8" s="27"/>
      <c r="CT8" s="27"/>
      <c r="CU8" s="27"/>
      <c r="CV8" s="27"/>
      <c r="CW8" s="27"/>
      <c r="CX8" s="121"/>
      <c r="DA8" s="27"/>
      <c r="DB8" s="27"/>
      <c r="DC8" s="27"/>
      <c r="DD8" s="27"/>
      <c r="DE8" s="27"/>
      <c r="DF8" s="27"/>
      <c r="DG8" s="27"/>
      <c r="DH8" s="27"/>
      <c r="DI8" s="27"/>
      <c r="DJ8" s="27"/>
      <c r="DK8" s="27"/>
      <c r="DL8" s="27"/>
      <c r="DM8" s="27"/>
      <c r="DN8" s="27"/>
      <c r="DO8" s="27"/>
      <c r="DP8" s="27"/>
      <c r="DQ8" s="27"/>
      <c r="DR8" s="27"/>
      <c r="DS8" s="121"/>
      <c r="DW8" s="3"/>
      <c r="DY8" s="38"/>
      <c r="DZ8" s="55"/>
      <c r="EA8" s="38"/>
      <c r="EB8" s="38"/>
      <c r="EC8" s="121"/>
      <c r="EG8" s="211"/>
      <c r="EI8" s="212"/>
      <c r="EJ8" s="213"/>
      <c r="EK8" s="212"/>
      <c r="EL8" s="219"/>
      <c r="EP8" s="211"/>
      <c r="ER8" s="212"/>
      <c r="ES8" s="213"/>
      <c r="ET8" s="212"/>
      <c r="EU8" s="219"/>
    </row>
    <row r="9" spans="1:153" x14ac:dyDescent="0.2">
      <c r="A9" s="3" t="s">
        <v>17</v>
      </c>
      <c r="B9">
        <v>1700.5</v>
      </c>
      <c r="C9">
        <v>744</v>
      </c>
      <c r="D9">
        <v>0.74</v>
      </c>
      <c r="F9" t="s">
        <v>18</v>
      </c>
      <c r="G9" t="s">
        <v>126</v>
      </c>
      <c r="H9" s="20"/>
      <c r="I9" s="21"/>
      <c r="J9">
        <v>1258</v>
      </c>
      <c r="K9" s="34">
        <f t="shared" si="2"/>
        <v>79.976159999999993</v>
      </c>
      <c r="L9" s="34">
        <f t="shared" si="3"/>
        <v>109.05839999999999</v>
      </c>
      <c r="M9" s="34">
        <f t="shared" si="4"/>
        <v>138.14063999999999</v>
      </c>
      <c r="N9">
        <v>0.74</v>
      </c>
      <c r="O9" s="27">
        <f t="shared" si="5"/>
        <v>74451.406867199999</v>
      </c>
      <c r="P9" s="27">
        <f t="shared" si="23"/>
        <v>101524.64572799999</v>
      </c>
      <c r="Q9" s="27">
        <f t="shared" si="6"/>
        <v>128597.88458879999</v>
      </c>
      <c r="R9" s="27"/>
      <c r="S9" s="27"/>
      <c r="T9" s="27"/>
      <c r="U9" s="18"/>
      <c r="V9">
        <v>2.3999999999999998E-3</v>
      </c>
      <c r="W9">
        <v>0.99760000000000004</v>
      </c>
      <c r="X9" s="94">
        <f t="shared" si="7"/>
        <v>178.68337648127999</v>
      </c>
      <c r="Y9" s="94">
        <f t="shared" si="8"/>
        <v>243.65914974719996</v>
      </c>
      <c r="Z9" s="94">
        <f t="shared" si="9"/>
        <v>308.63492301311993</v>
      </c>
      <c r="AA9" s="94">
        <f t="shared" si="10"/>
        <v>74272.723490718723</v>
      </c>
      <c r="AB9" s="94">
        <f t="shared" si="11"/>
        <v>101280.98657825279</v>
      </c>
      <c r="AC9" s="94">
        <f t="shared" si="12"/>
        <v>128289.24966578688</v>
      </c>
      <c r="AJ9" s="18"/>
      <c r="AK9">
        <v>80</v>
      </c>
      <c r="AL9" s="34">
        <f t="shared" si="13"/>
        <v>9.1324200913242004E-3</v>
      </c>
      <c r="AM9" s="34">
        <f t="shared" si="0"/>
        <v>0.9908675799086758</v>
      </c>
      <c r="AN9" s="94">
        <f t="shared" si="14"/>
        <v>678.28971224400652</v>
      </c>
      <c r="AO9" s="94">
        <f t="shared" si="15"/>
        <v>339.14485612200326</v>
      </c>
      <c r="AP9" s="94">
        <f t="shared" si="16"/>
        <v>73933.578634596721</v>
      </c>
      <c r="AQ9" s="27"/>
      <c r="AR9" s="27"/>
      <c r="AS9" s="94">
        <f t="shared" si="17"/>
        <v>924.94051669637247</v>
      </c>
      <c r="AT9" s="94">
        <f t="shared" si="18"/>
        <v>462.47025834818623</v>
      </c>
      <c r="AU9" s="27">
        <f t="shared" si="19"/>
        <v>100818.51631990461</v>
      </c>
      <c r="AV9" s="27"/>
      <c r="AW9" s="27"/>
      <c r="AX9" s="94">
        <f t="shared" si="20"/>
        <v>1171.5913211487384</v>
      </c>
      <c r="AY9" s="94">
        <f t="shared" si="21"/>
        <v>585.79566057436921</v>
      </c>
      <c r="AZ9" s="27">
        <f t="shared" si="22"/>
        <v>127703.45400521251</v>
      </c>
      <c r="BA9" s="27"/>
      <c r="BB9" s="27"/>
      <c r="BC9" s="18"/>
      <c r="BG9" s="3"/>
      <c r="BJ9" s="3"/>
      <c r="BM9" s="3"/>
      <c r="BP9" s="117"/>
      <c r="BT9" s="3"/>
      <c r="BW9" s="3"/>
      <c r="BZ9" s="3"/>
      <c r="CC9" s="121"/>
      <c r="CF9" s="27"/>
      <c r="CG9" s="27"/>
      <c r="CH9" s="27"/>
      <c r="CI9" s="27"/>
      <c r="CJ9" s="27"/>
      <c r="CK9" s="27"/>
      <c r="CL9" s="27"/>
      <c r="CM9" s="27"/>
      <c r="CN9" s="27"/>
      <c r="CO9" s="27"/>
      <c r="CP9" s="27"/>
      <c r="CQ9" s="27"/>
      <c r="CR9" s="27"/>
      <c r="CS9" s="27"/>
      <c r="CT9" s="27"/>
      <c r="CU9" s="27"/>
      <c r="CV9" s="27"/>
      <c r="CW9" s="27"/>
      <c r="CX9" s="121"/>
      <c r="DA9" s="27"/>
      <c r="DB9" s="27"/>
      <c r="DC9" s="27"/>
      <c r="DD9" s="27"/>
      <c r="DE9" s="27"/>
      <c r="DF9" s="27"/>
      <c r="DG9" s="27"/>
      <c r="DH9" s="27"/>
      <c r="DI9" s="27"/>
      <c r="DJ9" s="27"/>
      <c r="DK9" s="27"/>
      <c r="DL9" s="27"/>
      <c r="DM9" s="27"/>
      <c r="DN9" s="27"/>
      <c r="DO9" s="27"/>
      <c r="DP9" s="27"/>
      <c r="DQ9" s="27"/>
      <c r="DR9" s="27"/>
      <c r="DS9" s="121"/>
      <c r="DW9" s="3"/>
      <c r="DY9" s="38"/>
      <c r="DZ9" s="55"/>
      <c r="EA9" s="38"/>
      <c r="EB9" s="38"/>
      <c r="EC9" s="121"/>
      <c r="EG9" s="211"/>
      <c r="EI9" s="212"/>
      <c r="EJ9" s="213"/>
      <c r="EK9" s="212"/>
      <c r="EL9" s="219"/>
      <c r="EP9" s="211"/>
      <c r="ER9" s="212"/>
      <c r="ES9" s="213"/>
      <c r="ET9" s="212"/>
      <c r="EU9" s="219"/>
    </row>
    <row r="10" spans="1:153" x14ac:dyDescent="0.2">
      <c r="A10" s="3" t="s">
        <v>19</v>
      </c>
      <c r="B10">
        <v>1688</v>
      </c>
      <c r="C10">
        <v>152.5</v>
      </c>
      <c r="D10">
        <v>1.29</v>
      </c>
      <c r="E10">
        <v>0.35299999999999998</v>
      </c>
      <c r="F10" t="s">
        <v>25</v>
      </c>
      <c r="G10" t="s">
        <v>124</v>
      </c>
      <c r="H10" s="20"/>
      <c r="I10" s="21"/>
      <c r="J10">
        <v>596</v>
      </c>
      <c r="K10" s="34">
        <f t="shared" si="2"/>
        <v>79.976159999999993</v>
      </c>
      <c r="L10" s="34">
        <f t="shared" si="3"/>
        <v>109.05839999999999</v>
      </c>
      <c r="M10" s="34">
        <f t="shared" si="4"/>
        <v>138.14063999999999</v>
      </c>
      <c r="N10">
        <v>0.35</v>
      </c>
      <c r="O10" s="27">
        <f t="shared" si="5"/>
        <v>16683.026975999997</v>
      </c>
      <c r="P10" s="27">
        <f t="shared" si="23"/>
        <v>22749.582239999996</v>
      </c>
      <c r="Q10" s="27">
        <f t="shared" si="6"/>
        <v>28816.137503999998</v>
      </c>
      <c r="R10" s="27"/>
      <c r="S10" s="27"/>
      <c r="T10" s="27"/>
      <c r="U10" s="18"/>
      <c r="V10">
        <v>2.3999999999999998E-3</v>
      </c>
      <c r="W10">
        <v>0.99760000000000004</v>
      </c>
      <c r="X10" s="94">
        <f t="shared" si="7"/>
        <v>40.039264742399993</v>
      </c>
      <c r="Y10" s="94">
        <f t="shared" si="8"/>
        <v>54.598997375999986</v>
      </c>
      <c r="Z10" s="94">
        <f t="shared" si="9"/>
        <v>69.158730009599992</v>
      </c>
      <c r="AA10" s="94">
        <f t="shared" si="10"/>
        <v>16642.9877112576</v>
      </c>
      <c r="AB10" s="94">
        <f t="shared" si="11"/>
        <v>22694.983242623995</v>
      </c>
      <c r="AC10" s="94">
        <f t="shared" si="12"/>
        <v>28746.978773990399</v>
      </c>
      <c r="AJ10" s="18"/>
      <c r="AK10">
        <v>332</v>
      </c>
      <c r="AL10" s="34">
        <f t="shared" si="13"/>
        <v>3.7899543378995433E-2</v>
      </c>
      <c r="AM10" s="34">
        <f t="shared" si="0"/>
        <v>0.96210045662100452</v>
      </c>
      <c r="AN10" s="94">
        <f t="shared" si="14"/>
        <v>630.76163471889527</v>
      </c>
      <c r="AO10" s="94">
        <f t="shared" si="15"/>
        <v>315.38081735944763</v>
      </c>
      <c r="AP10" s="94">
        <f t="shared" si="16"/>
        <v>16327.606893898152</v>
      </c>
      <c r="AQ10" s="27"/>
      <c r="AR10" s="27"/>
      <c r="AS10" s="94">
        <f t="shared" si="17"/>
        <v>860.1295018894026</v>
      </c>
      <c r="AT10" s="94">
        <f t="shared" si="18"/>
        <v>430.0647509447013</v>
      </c>
      <c r="AU10" s="27">
        <f t="shared" si="19"/>
        <v>22264.918491679291</v>
      </c>
      <c r="AV10" s="27"/>
      <c r="AW10" s="27"/>
      <c r="AX10" s="94">
        <f t="shared" si="20"/>
        <v>1089.4973690599102</v>
      </c>
      <c r="AY10" s="94">
        <f t="shared" si="21"/>
        <v>544.74868452995509</v>
      </c>
      <c r="AZ10" s="27">
        <f t="shared" si="22"/>
        <v>28202.230089460441</v>
      </c>
      <c r="BA10" s="27"/>
      <c r="BB10" s="27"/>
      <c r="BC10" s="18"/>
      <c r="BG10" s="3"/>
      <c r="BJ10" s="3"/>
      <c r="BM10" s="3"/>
      <c r="BP10" s="117"/>
      <c r="BT10" s="3"/>
      <c r="BW10" s="3"/>
      <c r="BZ10" s="3"/>
      <c r="CC10" s="121"/>
      <c r="CF10" s="27"/>
      <c r="CG10" s="27"/>
      <c r="CH10" s="27"/>
      <c r="CI10" s="27"/>
      <c r="CJ10" s="27"/>
      <c r="CK10" s="27"/>
      <c r="CL10" s="27"/>
      <c r="CM10" s="27"/>
      <c r="CN10" s="27"/>
      <c r="CO10" s="27"/>
      <c r="CP10" s="27"/>
      <c r="CQ10" s="27"/>
      <c r="CR10" s="27"/>
      <c r="CS10" s="27"/>
      <c r="CT10" s="27"/>
      <c r="CU10" s="27"/>
      <c r="CV10" s="27"/>
      <c r="CW10" s="27"/>
      <c r="CX10" s="121"/>
      <c r="DA10" s="27"/>
      <c r="DB10" s="27"/>
      <c r="DC10" s="27"/>
      <c r="DD10" s="27"/>
      <c r="DE10" s="27"/>
      <c r="DF10" s="27"/>
      <c r="DG10" s="27"/>
      <c r="DH10" s="27" t="s">
        <v>270</v>
      </c>
      <c r="DI10" s="27"/>
      <c r="DJ10" s="27"/>
      <c r="DK10" s="27"/>
      <c r="DL10" s="27"/>
      <c r="DM10" s="27"/>
      <c r="DN10" s="27"/>
      <c r="DO10" s="27"/>
      <c r="DP10" s="27"/>
      <c r="DQ10" s="27"/>
      <c r="DR10" s="27"/>
      <c r="DS10" s="121"/>
      <c r="DW10" s="3"/>
      <c r="DY10" s="38"/>
      <c r="DZ10" s="55"/>
      <c r="EA10" s="38"/>
      <c r="EB10" s="38"/>
      <c r="EC10" s="121"/>
      <c r="EG10" s="211"/>
      <c r="EI10" s="212"/>
      <c r="EJ10" s="213"/>
      <c r="EK10" s="212"/>
      <c r="EL10" s="219"/>
      <c r="EP10" s="211"/>
      <c r="ER10" s="212"/>
      <c r="ES10" s="213"/>
      <c r="ET10" s="212"/>
      <c r="EU10" s="219"/>
    </row>
    <row r="11" spans="1:153" x14ac:dyDescent="0.2">
      <c r="A11" s="3" t="s">
        <v>20</v>
      </c>
      <c r="B11">
        <v>2122</v>
      </c>
      <c r="C11">
        <v>15</v>
      </c>
      <c r="D11">
        <v>0.24</v>
      </c>
      <c r="E11">
        <v>0.317</v>
      </c>
      <c r="F11" t="s">
        <v>26</v>
      </c>
      <c r="G11" t="s">
        <v>124</v>
      </c>
      <c r="H11" s="20"/>
      <c r="I11" s="21"/>
      <c r="J11">
        <v>673</v>
      </c>
      <c r="K11" s="34">
        <f t="shared" si="2"/>
        <v>79.976159999999993</v>
      </c>
      <c r="L11" s="34">
        <f t="shared" si="3"/>
        <v>109.05839999999999</v>
      </c>
      <c r="M11" s="34">
        <f t="shared" si="4"/>
        <v>138.14063999999999</v>
      </c>
      <c r="N11">
        <v>0.32</v>
      </c>
      <c r="O11" s="27">
        <f t="shared" si="5"/>
        <v>17223.665817599998</v>
      </c>
      <c r="P11" s="27">
        <f t="shared" si="23"/>
        <v>23486.817024</v>
      </c>
      <c r="Q11" s="27">
        <f t="shared" si="6"/>
        <v>29749.968230399998</v>
      </c>
      <c r="R11" s="27"/>
      <c r="S11" s="27"/>
      <c r="T11" s="27"/>
      <c r="U11" s="18"/>
      <c r="V11">
        <v>2.3999999999999998E-3</v>
      </c>
      <c r="W11">
        <v>0.99760000000000004</v>
      </c>
      <c r="X11" s="94">
        <f t="shared" si="7"/>
        <v>41.336797962239991</v>
      </c>
      <c r="Y11" s="94">
        <f t="shared" si="8"/>
        <v>56.368360857599995</v>
      </c>
      <c r="Z11" s="94">
        <f t="shared" si="9"/>
        <v>71.399923752959992</v>
      </c>
      <c r="AA11" s="94">
        <f t="shared" si="10"/>
        <v>17182.32901963776</v>
      </c>
      <c r="AB11" s="94">
        <f t="shared" si="11"/>
        <v>23430.448663142401</v>
      </c>
      <c r="AC11" s="94">
        <f t="shared" si="12"/>
        <v>29678.568306647041</v>
      </c>
      <c r="AJ11" s="18"/>
      <c r="AK11">
        <v>0</v>
      </c>
      <c r="AL11" s="34">
        <f t="shared" si="13"/>
        <v>0</v>
      </c>
      <c r="AM11" s="34">
        <f t="shared" si="0"/>
        <v>1</v>
      </c>
      <c r="AN11" s="94">
        <f t="shared" si="14"/>
        <v>0</v>
      </c>
      <c r="AO11" s="94">
        <f t="shared" si="15"/>
        <v>0</v>
      </c>
      <c r="AP11" s="94">
        <f t="shared" si="16"/>
        <v>17182.32901963776</v>
      </c>
      <c r="AQ11" s="27"/>
      <c r="AR11" s="27"/>
      <c r="AS11" s="94">
        <f t="shared" si="17"/>
        <v>0</v>
      </c>
      <c r="AT11" s="94">
        <f t="shared" si="18"/>
        <v>0</v>
      </c>
      <c r="AU11" s="27">
        <f t="shared" si="19"/>
        <v>23430.448663142401</v>
      </c>
      <c r="AV11" s="27"/>
      <c r="AW11" s="27"/>
      <c r="AX11" s="94">
        <f t="shared" si="20"/>
        <v>0</v>
      </c>
      <c r="AY11" s="94">
        <f t="shared" si="21"/>
        <v>0</v>
      </c>
      <c r="AZ11" s="27">
        <f t="shared" si="22"/>
        <v>29678.568306647041</v>
      </c>
      <c r="BA11" s="27"/>
      <c r="BB11" s="27"/>
      <c r="BC11" s="18"/>
      <c r="BG11" s="3"/>
      <c r="BJ11" s="3"/>
      <c r="BM11" s="3"/>
      <c r="BP11" s="117"/>
      <c r="BT11" s="3"/>
      <c r="BW11" s="3"/>
      <c r="BZ11" s="3"/>
      <c r="CC11" s="121"/>
      <c r="CF11" s="27"/>
      <c r="CG11" s="27"/>
      <c r="CH11" s="27"/>
      <c r="CI11" s="27"/>
      <c r="CJ11" s="27"/>
      <c r="CK11" s="27"/>
      <c r="CL11" s="27"/>
      <c r="CM11" s="27"/>
      <c r="CN11" s="27"/>
      <c r="CO11" s="27"/>
      <c r="CP11" s="27"/>
      <c r="CQ11" s="27"/>
      <c r="CR11" s="27"/>
      <c r="CS11" s="27"/>
      <c r="CT11" s="27"/>
      <c r="CU11" s="27"/>
      <c r="CV11" s="27"/>
      <c r="CW11" s="27"/>
      <c r="CX11" s="121"/>
      <c r="DA11" s="27"/>
      <c r="DB11" s="27"/>
      <c r="DC11" s="27"/>
      <c r="DD11" s="27"/>
      <c r="DE11" s="27"/>
      <c r="DF11" s="27"/>
      <c r="DG11" s="27"/>
      <c r="DH11" s="27"/>
      <c r="DI11" s="27"/>
      <c r="DJ11" s="27"/>
      <c r="DK11" s="27"/>
      <c r="DL11" s="27"/>
      <c r="DM11" s="27"/>
      <c r="DN11" s="27"/>
      <c r="DO11" s="27"/>
      <c r="DP11" s="27"/>
      <c r="DQ11" s="27"/>
      <c r="DR11" s="27"/>
      <c r="DS11" s="121"/>
      <c r="DW11" s="3"/>
      <c r="DY11" s="38"/>
      <c r="DZ11" s="55"/>
      <c r="EA11" s="38"/>
      <c r="EB11" s="38"/>
      <c r="EC11" s="121"/>
      <c r="EG11" s="211"/>
      <c r="EI11" s="212"/>
      <c r="EJ11" s="213"/>
      <c r="EK11" s="212"/>
      <c r="EL11" s="219"/>
      <c r="EP11" s="211"/>
      <c r="ER11" s="212"/>
      <c r="ES11" s="213"/>
      <c r="ET11" s="212"/>
      <c r="EU11" s="219"/>
    </row>
    <row r="12" spans="1:153" x14ac:dyDescent="0.2">
      <c r="A12" s="3" t="s">
        <v>21</v>
      </c>
      <c r="B12">
        <v>2122</v>
      </c>
      <c r="C12">
        <v>15</v>
      </c>
      <c r="D12">
        <v>1.36</v>
      </c>
      <c r="E12">
        <v>0.19</v>
      </c>
      <c r="F12" t="s">
        <v>27</v>
      </c>
      <c r="G12" t="s">
        <v>124</v>
      </c>
      <c r="H12" s="20"/>
      <c r="I12" s="21"/>
      <c r="J12">
        <v>403</v>
      </c>
      <c r="K12" s="34">
        <f t="shared" si="2"/>
        <v>79.976159999999993</v>
      </c>
      <c r="L12" s="34">
        <f t="shared" si="3"/>
        <v>109.05839999999999</v>
      </c>
      <c r="M12" s="34">
        <f t="shared" si="4"/>
        <v>138.14063999999999</v>
      </c>
      <c r="N12">
        <v>0.19</v>
      </c>
      <c r="O12" s="27">
        <f t="shared" si="5"/>
        <v>6123.7745711999996</v>
      </c>
      <c r="P12" s="27">
        <f t="shared" si="23"/>
        <v>8350.6016880000006</v>
      </c>
      <c r="Q12" s="27">
        <f t="shared" si="6"/>
        <v>10577.4288048</v>
      </c>
      <c r="R12" s="27"/>
      <c r="S12" s="27"/>
      <c r="T12" s="27"/>
      <c r="U12" s="18"/>
      <c r="V12">
        <v>2.3999999999999998E-3</v>
      </c>
      <c r="W12">
        <v>0.99760000000000004</v>
      </c>
      <c r="X12" s="94">
        <f t="shared" si="7"/>
        <v>14.697058970879997</v>
      </c>
      <c r="Y12" s="94">
        <f t="shared" si="8"/>
        <v>20.041444051199999</v>
      </c>
      <c r="Z12" s="94">
        <f t="shared" si="9"/>
        <v>25.385829131519998</v>
      </c>
      <c r="AA12" s="94">
        <f t="shared" si="10"/>
        <v>6109.0775122291197</v>
      </c>
      <c r="AB12" s="94">
        <f t="shared" si="11"/>
        <v>8330.5602439488011</v>
      </c>
      <c r="AC12" s="94">
        <f t="shared" si="12"/>
        <v>10552.042975668481</v>
      </c>
      <c r="AJ12" s="18"/>
      <c r="AK12">
        <v>10</v>
      </c>
      <c r="AL12" s="34">
        <f t="shared" si="13"/>
        <v>1.1415525114155251E-3</v>
      </c>
      <c r="AM12" s="34">
        <f t="shared" si="0"/>
        <v>0.99885844748858443</v>
      </c>
      <c r="AN12" s="94">
        <f t="shared" si="14"/>
        <v>6.9738327765172592</v>
      </c>
      <c r="AO12" s="94">
        <f t="shared" si="15"/>
        <v>3.4869163882586296</v>
      </c>
      <c r="AP12" s="94">
        <f t="shared" si="16"/>
        <v>6105.5905958408612</v>
      </c>
      <c r="AQ12" s="27"/>
      <c r="AR12" s="27"/>
      <c r="AS12" s="94">
        <f t="shared" si="17"/>
        <v>9.5097719679780823</v>
      </c>
      <c r="AT12" s="94">
        <f t="shared" si="18"/>
        <v>4.7548859839890412</v>
      </c>
      <c r="AU12" s="27">
        <f t="shared" si="19"/>
        <v>8325.8053579648131</v>
      </c>
      <c r="AV12" s="27"/>
      <c r="AW12" s="27"/>
      <c r="AX12" s="94">
        <f t="shared" si="20"/>
        <v>12.045711159438904</v>
      </c>
      <c r="AY12" s="94">
        <f t="shared" si="21"/>
        <v>6.0228555797194518</v>
      </c>
      <c r="AZ12" s="27">
        <f t="shared" si="22"/>
        <v>10546.020120088762</v>
      </c>
      <c r="BA12" s="27"/>
      <c r="BB12" s="27"/>
      <c r="BC12" s="18"/>
      <c r="BG12" s="3"/>
      <c r="BJ12" s="3"/>
      <c r="BM12" s="3"/>
      <c r="BP12" s="117"/>
      <c r="BT12" s="3"/>
      <c r="BW12" s="3"/>
      <c r="BZ12" s="3"/>
      <c r="CC12" s="121"/>
      <c r="CF12" s="27" t="s">
        <v>93</v>
      </c>
      <c r="CG12" s="27"/>
      <c r="CH12" s="27"/>
      <c r="CI12" s="27"/>
      <c r="CJ12" s="27"/>
      <c r="CK12" s="27"/>
      <c r="CL12" s="27"/>
      <c r="CM12" s="27"/>
      <c r="CN12" s="27"/>
      <c r="CO12" s="27"/>
      <c r="CP12" s="27"/>
      <c r="CQ12" s="27"/>
      <c r="CR12" s="27"/>
      <c r="CS12" s="27"/>
      <c r="CT12" s="27"/>
      <c r="CU12" s="27"/>
      <c r="CV12" s="27"/>
      <c r="CW12" s="27"/>
      <c r="CX12" s="121"/>
      <c r="DA12" s="27"/>
      <c r="DB12" s="27"/>
      <c r="DC12" s="27"/>
      <c r="DD12" s="27"/>
      <c r="DE12" s="27"/>
      <c r="DF12" s="27"/>
      <c r="DG12" s="27"/>
      <c r="DH12" s="27"/>
      <c r="DI12" s="27"/>
      <c r="DJ12" s="27"/>
      <c r="DK12" s="27"/>
      <c r="DL12" s="27"/>
      <c r="DM12" s="27"/>
      <c r="DN12" s="27"/>
      <c r="DO12" s="27"/>
      <c r="DP12" s="27"/>
      <c r="DQ12" s="27"/>
      <c r="DR12" s="27"/>
      <c r="DS12" s="121"/>
      <c r="DW12" s="3"/>
      <c r="DY12" s="38"/>
      <c r="DZ12" s="55"/>
      <c r="EA12" s="38"/>
      <c r="EB12" s="38"/>
      <c r="EC12" s="121"/>
      <c r="EG12" s="211"/>
      <c r="EI12" s="212"/>
      <c r="EJ12" s="213"/>
      <c r="EK12" s="212"/>
      <c r="EL12" s="219"/>
      <c r="EP12" s="211"/>
      <c r="ER12" s="212"/>
      <c r="ES12" s="213"/>
      <c r="ET12" s="212"/>
      <c r="EU12" s="219"/>
    </row>
    <row r="13" spans="1:153" x14ac:dyDescent="0.2">
      <c r="A13" s="3" t="s">
        <v>23</v>
      </c>
      <c r="B13">
        <v>1479</v>
      </c>
      <c r="C13">
        <v>8</v>
      </c>
      <c r="D13">
        <v>1.01</v>
      </c>
      <c r="F13" t="s">
        <v>28</v>
      </c>
      <c r="G13" t="s">
        <v>30</v>
      </c>
      <c r="H13" s="20"/>
      <c r="I13" s="21"/>
      <c r="J13">
        <v>8</v>
      </c>
      <c r="K13" s="34">
        <f t="shared" si="2"/>
        <v>79.976159999999993</v>
      </c>
      <c r="L13" s="34">
        <f t="shared" si="3"/>
        <v>109.05839999999999</v>
      </c>
      <c r="M13" s="34">
        <f t="shared" si="4"/>
        <v>138.14063999999999</v>
      </c>
      <c r="N13">
        <v>1.01</v>
      </c>
      <c r="O13" s="27">
        <f t="shared" si="5"/>
        <v>646.20737279999992</v>
      </c>
      <c r="P13" s="27">
        <f t="shared" si="23"/>
        <v>881.19187199999999</v>
      </c>
      <c r="Q13" s="27">
        <f t="shared" si="6"/>
        <v>1116.1763711999999</v>
      </c>
      <c r="R13" s="27"/>
      <c r="S13" s="27"/>
      <c r="T13" s="27"/>
      <c r="U13" s="18"/>
      <c r="V13">
        <v>2.3999999999999998E-3</v>
      </c>
      <c r="W13">
        <v>0.99760000000000004</v>
      </c>
      <c r="X13" s="94">
        <f t="shared" si="7"/>
        <v>1.5508976947199997</v>
      </c>
      <c r="Y13" s="94">
        <f t="shared" si="8"/>
        <v>2.1148604927999997</v>
      </c>
      <c r="Z13" s="94">
        <f t="shared" si="9"/>
        <v>2.6788232908799996</v>
      </c>
      <c r="AA13" s="94">
        <f t="shared" si="10"/>
        <v>644.65647510527992</v>
      </c>
      <c r="AB13" s="94">
        <f t="shared" si="11"/>
        <v>879.07701150720004</v>
      </c>
      <c r="AC13" s="94">
        <f t="shared" si="12"/>
        <v>1113.4975479091199</v>
      </c>
      <c r="AJ13" s="18"/>
      <c r="AK13">
        <v>886</v>
      </c>
      <c r="AL13" s="34">
        <f t="shared" si="13"/>
        <v>0.10114155251141553</v>
      </c>
      <c r="AM13" s="34">
        <f t="shared" si="0"/>
        <v>0.89885844748858446</v>
      </c>
      <c r="AN13" s="94">
        <f t="shared" si="14"/>
        <v>65.201556728684707</v>
      </c>
      <c r="AO13" s="94">
        <f t="shared" si="15"/>
        <v>32.600778364342354</v>
      </c>
      <c r="AP13" s="94">
        <f t="shared" si="16"/>
        <v>612.05569674093749</v>
      </c>
      <c r="AQ13" s="27"/>
      <c r="AR13" s="27"/>
      <c r="AS13" s="94">
        <f t="shared" si="17"/>
        <v>88.911213720933702</v>
      </c>
      <c r="AT13" s="94">
        <f t="shared" si="18"/>
        <v>44.455606860466851</v>
      </c>
      <c r="AU13" s="27">
        <f t="shared" si="19"/>
        <v>834.62140464673325</v>
      </c>
      <c r="AV13" s="27"/>
      <c r="AW13" s="27"/>
      <c r="AX13" s="94">
        <f t="shared" si="20"/>
        <v>112.62087071318268</v>
      </c>
      <c r="AY13" s="94">
        <f t="shared" si="21"/>
        <v>56.310435356591341</v>
      </c>
      <c r="AZ13" s="27">
        <f t="shared" si="22"/>
        <v>1057.1871125525286</v>
      </c>
      <c r="BA13" s="27"/>
      <c r="BB13" s="27"/>
      <c r="BC13" s="18"/>
      <c r="BG13" s="3"/>
      <c r="BJ13" s="3"/>
      <c r="BM13" s="3"/>
      <c r="BP13" s="117"/>
      <c r="BT13" s="3"/>
      <c r="BW13" s="3"/>
      <c r="BZ13" s="3"/>
      <c r="CC13" s="121"/>
      <c r="CF13" s="27"/>
      <c r="CG13" s="27"/>
      <c r="CH13" s="27"/>
      <c r="CI13" s="27"/>
      <c r="CJ13" s="27"/>
      <c r="CK13" s="27"/>
      <c r="CL13" s="27"/>
      <c r="CM13" s="27"/>
      <c r="CN13" s="27"/>
      <c r="CO13" s="27"/>
      <c r="CP13" s="27"/>
      <c r="CQ13" s="27"/>
      <c r="CR13" s="27"/>
      <c r="CS13" s="27"/>
      <c r="CT13" s="27"/>
      <c r="CU13" s="27"/>
      <c r="CV13" s="27"/>
      <c r="CW13" s="27"/>
      <c r="CX13" s="121"/>
      <c r="DA13" s="27"/>
      <c r="DB13" s="27"/>
      <c r="DC13" s="27"/>
      <c r="DD13" s="27"/>
      <c r="DE13" s="27"/>
      <c r="DF13" s="27"/>
      <c r="DG13" s="27"/>
      <c r="DH13" s="27"/>
      <c r="DI13" s="27"/>
      <c r="DJ13" s="27"/>
      <c r="DK13" s="27"/>
      <c r="DL13" s="27"/>
      <c r="DM13" s="27"/>
      <c r="DN13" s="27"/>
      <c r="DO13" s="27"/>
      <c r="DP13" s="27"/>
      <c r="DQ13" s="27"/>
      <c r="DR13" s="27"/>
      <c r="DS13" s="121"/>
      <c r="DW13" s="3"/>
      <c r="DY13" s="38"/>
      <c r="DZ13" s="55"/>
      <c r="EA13" s="38"/>
      <c r="EB13" s="38"/>
      <c r="EC13" s="121"/>
      <c r="EG13" s="211"/>
      <c r="EI13" s="212"/>
      <c r="EJ13" s="213"/>
      <c r="EK13" s="212"/>
      <c r="EL13" s="219"/>
      <c r="EP13" s="211"/>
      <c r="ER13" s="212"/>
      <c r="ES13" s="213"/>
      <c r="ET13" s="212"/>
      <c r="EU13" s="219"/>
    </row>
    <row r="14" spans="1:153" x14ac:dyDescent="0.2">
      <c r="A14" s="3" t="s">
        <v>24</v>
      </c>
      <c r="B14">
        <v>1228</v>
      </c>
      <c r="C14">
        <v>41</v>
      </c>
      <c r="D14">
        <v>3.38</v>
      </c>
      <c r="E14">
        <v>0.32500000000000001</v>
      </c>
      <c r="F14" t="s">
        <v>29</v>
      </c>
      <c r="G14" t="s">
        <v>124</v>
      </c>
      <c r="H14" s="20"/>
      <c r="I14" s="21"/>
      <c r="J14">
        <v>399</v>
      </c>
      <c r="K14" s="34">
        <f t="shared" si="2"/>
        <v>79.976159999999993</v>
      </c>
      <c r="L14" s="34">
        <f t="shared" si="3"/>
        <v>109.05839999999999</v>
      </c>
      <c r="M14" s="34">
        <f t="shared" si="4"/>
        <v>138.14063999999999</v>
      </c>
      <c r="N14">
        <v>0.33</v>
      </c>
      <c r="O14" s="27">
        <f t="shared" si="5"/>
        <v>10530.4609872</v>
      </c>
      <c r="P14" s="27">
        <f t="shared" si="23"/>
        <v>14359.719528</v>
      </c>
      <c r="Q14" s="27">
        <f t="shared" si="6"/>
        <v>18188.978068799999</v>
      </c>
      <c r="R14" s="27"/>
      <c r="S14" s="27"/>
      <c r="T14" s="27"/>
      <c r="U14" s="18"/>
      <c r="V14">
        <v>2.3999999999999998E-3</v>
      </c>
      <c r="W14">
        <v>0.99760000000000004</v>
      </c>
      <c r="X14" s="94">
        <f t="shared" si="7"/>
        <v>25.273106369279997</v>
      </c>
      <c r="Y14" s="94">
        <f t="shared" si="8"/>
        <v>34.463326867199996</v>
      </c>
      <c r="Z14" s="94">
        <f t="shared" si="9"/>
        <v>43.653547365119991</v>
      </c>
      <c r="AA14" s="94">
        <f t="shared" si="10"/>
        <v>10505.187880830721</v>
      </c>
      <c r="AB14" s="94">
        <f t="shared" si="11"/>
        <v>14325.256201132801</v>
      </c>
      <c r="AC14" s="94">
        <f t="shared" si="12"/>
        <v>18145.324521434879</v>
      </c>
      <c r="AJ14" s="18"/>
      <c r="AK14">
        <v>167</v>
      </c>
      <c r="AL14" s="34">
        <f t="shared" si="13"/>
        <v>1.906392694063927E-2</v>
      </c>
      <c r="AM14" s="34">
        <f t="shared" si="0"/>
        <v>0.9809360730593607</v>
      </c>
      <c r="AN14" s="94">
        <f t="shared" si="14"/>
        <v>200.27013425784594</v>
      </c>
      <c r="AO14" s="94">
        <f t="shared" si="15"/>
        <v>100.13506712892297</v>
      </c>
      <c r="AP14" s="94">
        <f t="shared" si="16"/>
        <v>10405.052813701799</v>
      </c>
      <c r="AQ14" s="27"/>
      <c r="AR14" s="27"/>
      <c r="AS14" s="94">
        <f t="shared" si="17"/>
        <v>273.09563762433538</v>
      </c>
      <c r="AT14" s="94">
        <f t="shared" si="18"/>
        <v>136.54781881216769</v>
      </c>
      <c r="AU14" s="27">
        <f t="shared" si="19"/>
        <v>14188.708382320632</v>
      </c>
      <c r="AV14" s="27"/>
      <c r="AW14" s="27"/>
      <c r="AX14" s="94">
        <f t="shared" si="20"/>
        <v>345.92114099082477</v>
      </c>
      <c r="AY14" s="94">
        <f t="shared" si="21"/>
        <v>172.96057049541238</v>
      </c>
      <c r="AZ14" s="27">
        <f t="shared" si="22"/>
        <v>17972.363950939467</v>
      </c>
      <c r="BA14" s="27"/>
      <c r="BB14" s="27"/>
      <c r="BC14" s="18"/>
      <c r="BG14" s="3"/>
      <c r="BJ14" s="3"/>
      <c r="BM14" s="3"/>
      <c r="BP14" s="117"/>
      <c r="BT14" s="3"/>
      <c r="BW14" s="3"/>
      <c r="BZ14" s="3"/>
      <c r="CC14" s="121"/>
      <c r="CF14" s="27"/>
      <c r="CG14" s="27"/>
      <c r="CH14" s="27"/>
      <c r="CI14" s="27"/>
      <c r="CJ14" s="27"/>
      <c r="CK14" s="27"/>
      <c r="CL14" s="27"/>
      <c r="CM14" s="27"/>
      <c r="CN14" s="27"/>
      <c r="CO14" s="27"/>
      <c r="CP14" s="27"/>
      <c r="CQ14" s="27"/>
      <c r="CR14" s="27"/>
      <c r="CS14" s="27"/>
      <c r="CT14" s="27"/>
      <c r="CU14" s="27"/>
      <c r="CV14" s="27"/>
      <c r="CW14" s="27"/>
      <c r="CX14" s="121"/>
      <c r="DA14" s="27"/>
      <c r="DB14" s="27"/>
      <c r="DC14" s="27"/>
      <c r="DD14" s="27"/>
      <c r="DE14" s="27"/>
      <c r="DF14" s="27"/>
      <c r="DG14" s="27"/>
      <c r="DH14" s="27"/>
      <c r="DI14" s="27"/>
      <c r="DJ14" s="27"/>
      <c r="DK14" s="27"/>
      <c r="DL14" s="27"/>
      <c r="DM14" s="27"/>
      <c r="DN14" s="27"/>
      <c r="DO14" s="27"/>
      <c r="DP14" s="27"/>
      <c r="DQ14" s="27"/>
      <c r="DR14" s="27"/>
      <c r="DS14" s="121"/>
      <c r="DW14" s="3"/>
      <c r="DY14" s="38"/>
      <c r="DZ14" s="55"/>
      <c r="EA14" s="38"/>
      <c r="EB14" s="38"/>
      <c r="EC14" s="121"/>
      <c r="EG14" s="211"/>
      <c r="EI14" s="212"/>
      <c r="EJ14" s="213"/>
      <c r="EK14" s="212"/>
      <c r="EL14" s="219"/>
      <c r="EP14" s="211"/>
      <c r="ER14" s="212"/>
      <c r="ES14" s="213"/>
      <c r="ET14" s="212"/>
      <c r="EU14" s="219"/>
    </row>
    <row r="15" spans="1:153" x14ac:dyDescent="0.2">
      <c r="A15" s="3" t="s">
        <v>31</v>
      </c>
      <c r="B15">
        <v>1379</v>
      </c>
      <c r="C15">
        <v>6</v>
      </c>
      <c r="D15">
        <v>0.59</v>
      </c>
      <c r="F15" t="s">
        <v>32</v>
      </c>
      <c r="G15" t="s">
        <v>30</v>
      </c>
      <c r="H15" s="20"/>
      <c r="I15" s="21"/>
      <c r="J15">
        <v>6</v>
      </c>
      <c r="K15" s="34">
        <f t="shared" si="2"/>
        <v>79.976159999999993</v>
      </c>
      <c r="L15" s="34">
        <f t="shared" si="3"/>
        <v>109.05839999999999</v>
      </c>
      <c r="M15" s="34">
        <f t="shared" si="4"/>
        <v>138.14063999999999</v>
      </c>
      <c r="N15">
        <v>0.59</v>
      </c>
      <c r="O15" s="27">
        <f t="shared" si="5"/>
        <v>283.11560639999993</v>
      </c>
      <c r="P15" s="27">
        <f t="shared" si="23"/>
        <v>386.06673599999993</v>
      </c>
      <c r="Q15" s="27">
        <f t="shared" si="6"/>
        <v>489.01786559999999</v>
      </c>
      <c r="R15" s="27"/>
      <c r="S15" s="27"/>
      <c r="T15" s="27"/>
      <c r="U15" s="18"/>
      <c r="V15">
        <v>2.3999999999999998E-3</v>
      </c>
      <c r="W15">
        <v>0.99760000000000004</v>
      </c>
      <c r="X15" s="94">
        <f t="shared" si="7"/>
        <v>0.67947745535999982</v>
      </c>
      <c r="Y15" s="94">
        <f t="shared" si="8"/>
        <v>0.92656016639999972</v>
      </c>
      <c r="Z15" s="94">
        <f t="shared" si="9"/>
        <v>1.1736428774399998</v>
      </c>
      <c r="AA15" s="94">
        <f t="shared" si="10"/>
        <v>282.43612894463996</v>
      </c>
      <c r="AB15" s="94">
        <f t="shared" si="11"/>
        <v>385.14017583359993</v>
      </c>
      <c r="AC15" s="94">
        <f t="shared" si="12"/>
        <v>487.84422272256</v>
      </c>
      <c r="AJ15" s="18"/>
      <c r="AK15">
        <v>1315</v>
      </c>
      <c r="AL15" s="34">
        <f t="shared" si="13"/>
        <v>0.15011415525114155</v>
      </c>
      <c r="AM15" s="34">
        <f t="shared" si="0"/>
        <v>0.84988584474885842</v>
      </c>
      <c r="AN15" s="94">
        <f t="shared" si="14"/>
        <v>42.397660908927115</v>
      </c>
      <c r="AO15" s="94">
        <f t="shared" si="15"/>
        <v>21.198830454463558</v>
      </c>
      <c r="AP15" s="94">
        <f t="shared" si="16"/>
        <v>261.23729849017639</v>
      </c>
      <c r="AQ15" s="27"/>
      <c r="AR15" s="27"/>
      <c r="AS15" s="94">
        <f t="shared" si="17"/>
        <v>57.814992148536973</v>
      </c>
      <c r="AT15" s="94">
        <f t="shared" si="18"/>
        <v>28.907496074268487</v>
      </c>
      <c r="AU15" s="27">
        <f t="shared" si="19"/>
        <v>356.2326797593314</v>
      </c>
      <c r="AV15" s="27"/>
      <c r="AW15" s="27"/>
      <c r="AX15" s="94">
        <f t="shared" si="20"/>
        <v>73.232323388146852</v>
      </c>
      <c r="AY15" s="94">
        <f t="shared" si="21"/>
        <v>36.616161694073426</v>
      </c>
      <c r="AZ15" s="27">
        <f t="shared" si="22"/>
        <v>451.22806102848654</v>
      </c>
      <c r="BA15" s="27"/>
      <c r="BB15" s="27"/>
      <c r="BC15" s="18"/>
      <c r="BG15" s="3"/>
      <c r="BJ15" s="3"/>
      <c r="BM15" s="3"/>
      <c r="BP15" s="117"/>
      <c r="BT15" s="3"/>
      <c r="BW15" s="3"/>
      <c r="BZ15" s="3"/>
      <c r="CC15" s="121"/>
      <c r="CF15" s="27"/>
      <c r="CG15" s="27"/>
      <c r="CH15" s="27"/>
      <c r="CI15" s="27"/>
      <c r="CJ15" s="27"/>
      <c r="CK15" s="27"/>
      <c r="CL15" s="27"/>
      <c r="CM15" s="27"/>
      <c r="CN15" s="27"/>
      <c r="CO15" s="27"/>
      <c r="CP15" s="27"/>
      <c r="CQ15" s="27"/>
      <c r="CR15" s="27"/>
      <c r="CS15" s="27"/>
      <c r="CT15" s="27"/>
      <c r="CU15" s="27"/>
      <c r="CV15" s="27"/>
      <c r="CW15" s="27"/>
      <c r="CX15" s="121"/>
      <c r="DA15" s="27"/>
      <c r="DB15" s="27"/>
      <c r="DC15" s="27"/>
      <c r="DD15" s="27"/>
      <c r="DE15" s="27"/>
      <c r="DF15" s="27"/>
      <c r="DG15" s="27"/>
      <c r="DH15" s="27"/>
      <c r="DI15" s="27"/>
      <c r="DJ15" s="27"/>
      <c r="DK15" s="27"/>
      <c r="DL15" s="27"/>
      <c r="DM15" s="27"/>
      <c r="DN15" s="27"/>
      <c r="DO15" s="27"/>
      <c r="DP15" s="27"/>
      <c r="DQ15" s="27"/>
      <c r="DR15" s="27"/>
      <c r="DS15" s="121"/>
      <c r="DW15" s="3"/>
      <c r="DY15" s="38"/>
      <c r="DZ15" s="55"/>
      <c r="EA15" s="38"/>
      <c r="EB15" s="38"/>
      <c r="EC15" s="121"/>
      <c r="EG15" s="211"/>
      <c r="EI15" s="212"/>
      <c r="EJ15" s="213"/>
      <c r="EK15" s="212"/>
      <c r="EL15" s="219"/>
      <c r="EP15" s="211"/>
      <c r="ER15" s="212"/>
      <c r="ES15" s="213"/>
      <c r="ET15" s="212"/>
      <c r="EU15" s="219"/>
    </row>
    <row r="16" spans="1:153" x14ac:dyDescent="0.2">
      <c r="A16" s="3" t="s">
        <v>33</v>
      </c>
      <c r="B16">
        <v>1179</v>
      </c>
      <c r="C16">
        <v>10</v>
      </c>
      <c r="D16">
        <v>2.5</v>
      </c>
      <c r="E16">
        <v>0.625</v>
      </c>
      <c r="F16" t="s">
        <v>34</v>
      </c>
      <c r="G16" t="s">
        <v>11</v>
      </c>
      <c r="H16" s="20"/>
      <c r="I16" s="21"/>
      <c r="J16">
        <v>737</v>
      </c>
      <c r="K16" s="34">
        <f t="shared" si="2"/>
        <v>79.976159999999993</v>
      </c>
      <c r="L16" s="34">
        <f t="shared" si="3"/>
        <v>109.05839999999999</v>
      </c>
      <c r="M16" s="34">
        <f t="shared" si="4"/>
        <v>138.14063999999999</v>
      </c>
      <c r="N16">
        <v>0.63</v>
      </c>
      <c r="O16" s="27">
        <f t="shared" si="5"/>
        <v>37133.730849599997</v>
      </c>
      <c r="P16" s="27">
        <f t="shared" si="23"/>
        <v>50636.90570399999</v>
      </c>
      <c r="Q16" s="27">
        <f t="shared" si="6"/>
        <v>64140.080558399997</v>
      </c>
      <c r="R16" s="27"/>
      <c r="S16" s="27"/>
      <c r="T16" s="27"/>
      <c r="U16" s="18"/>
      <c r="V16">
        <v>2.3999999999999998E-3</v>
      </c>
      <c r="W16">
        <v>0.99760000000000004</v>
      </c>
      <c r="X16" s="94">
        <f t="shared" si="7"/>
        <v>89.120954039039987</v>
      </c>
      <c r="Y16" s="94">
        <f t="shared" si="8"/>
        <v>121.52857368959997</v>
      </c>
      <c r="Z16" s="94">
        <f t="shared" si="9"/>
        <v>153.93619334015997</v>
      </c>
      <c r="AA16" s="94">
        <f t="shared" si="10"/>
        <v>37044.609895560956</v>
      </c>
      <c r="AB16" s="94">
        <f t="shared" si="11"/>
        <v>50515.377130310393</v>
      </c>
      <c r="AC16" s="94">
        <f t="shared" si="12"/>
        <v>63986.144365059838</v>
      </c>
      <c r="AJ16" s="18"/>
      <c r="AK16">
        <v>149</v>
      </c>
      <c r="AL16" s="34">
        <f t="shared" si="13"/>
        <v>1.7009132420091323E-2</v>
      </c>
      <c r="AM16" s="34">
        <f t="shared" si="0"/>
        <v>0.98299086757990872</v>
      </c>
      <c r="AN16" s="94">
        <f t="shared" si="14"/>
        <v>630.09667516422166</v>
      </c>
      <c r="AO16" s="94">
        <f t="shared" si="15"/>
        <v>315.04833758211083</v>
      </c>
      <c r="AP16" s="94">
        <f t="shared" si="16"/>
        <v>36729.56155797885</v>
      </c>
      <c r="AQ16" s="27"/>
      <c r="AR16" s="27"/>
      <c r="AS16" s="94">
        <f t="shared" si="17"/>
        <v>859.22273886030223</v>
      </c>
      <c r="AT16" s="94">
        <f t="shared" si="18"/>
        <v>429.61136943015111</v>
      </c>
      <c r="AU16" s="27">
        <f t="shared" si="19"/>
        <v>50085.765760880247</v>
      </c>
      <c r="AV16" s="27"/>
      <c r="AW16" s="27"/>
      <c r="AX16" s="94">
        <f t="shared" si="20"/>
        <v>1088.3488025563829</v>
      </c>
      <c r="AY16" s="94">
        <f t="shared" si="21"/>
        <v>544.17440127819145</v>
      </c>
      <c r="AZ16" s="27">
        <f t="shared" si="22"/>
        <v>63441.969963781652</v>
      </c>
      <c r="BA16" s="27"/>
      <c r="BB16" s="27"/>
      <c r="BC16" s="18"/>
      <c r="BG16" s="3"/>
      <c r="BJ16" s="3"/>
      <c r="BM16" s="3"/>
      <c r="BP16" s="117"/>
      <c r="BT16" s="3"/>
      <c r="BW16" s="3"/>
      <c r="BZ16" s="3"/>
      <c r="CC16" s="121"/>
      <c r="CF16" s="27"/>
      <c r="CG16" s="27"/>
      <c r="CH16" s="27"/>
      <c r="CI16" s="27"/>
      <c r="CJ16" s="27"/>
      <c r="CK16" s="27"/>
      <c r="CL16" s="27"/>
      <c r="CM16" s="27"/>
      <c r="CN16" s="27"/>
      <c r="CO16" s="27"/>
      <c r="CP16" s="27"/>
      <c r="CQ16" s="27"/>
      <c r="CR16" s="27"/>
      <c r="CS16" s="27"/>
      <c r="CT16" s="27"/>
      <c r="CU16" s="27"/>
      <c r="CV16" s="27"/>
      <c r="CW16" s="27"/>
      <c r="CX16" s="121"/>
      <c r="DA16" s="27"/>
      <c r="DB16" s="27"/>
      <c r="DC16" s="27"/>
      <c r="DD16" s="27"/>
      <c r="DE16" s="27"/>
      <c r="DF16" s="27"/>
      <c r="DG16" s="27"/>
      <c r="DH16" s="27"/>
      <c r="DI16" s="27"/>
      <c r="DJ16" s="27"/>
      <c r="DK16" s="27"/>
      <c r="DL16" s="27"/>
      <c r="DM16" s="27"/>
      <c r="DN16" s="27"/>
      <c r="DO16" s="27"/>
      <c r="DP16" s="27"/>
      <c r="DQ16" s="27"/>
      <c r="DR16" s="27"/>
      <c r="DS16" s="121"/>
      <c r="DW16" s="3"/>
      <c r="DY16" s="38"/>
      <c r="DZ16" s="55"/>
      <c r="EA16" s="38"/>
      <c r="EB16" s="38"/>
      <c r="EC16" s="121"/>
      <c r="EG16" s="211"/>
      <c r="EI16" s="212"/>
      <c r="EJ16" s="213"/>
      <c r="EK16" s="212"/>
      <c r="EL16" s="219"/>
      <c r="EP16" s="211"/>
      <c r="ER16" s="212"/>
      <c r="ES16" s="213"/>
      <c r="ET16" s="212"/>
      <c r="EU16" s="219"/>
    </row>
    <row r="17" spans="1:153" x14ac:dyDescent="0.2">
      <c r="A17" s="3" t="s">
        <v>35</v>
      </c>
      <c r="B17">
        <v>1252</v>
      </c>
      <c r="C17">
        <v>1250</v>
      </c>
      <c r="D17">
        <v>0.08</v>
      </c>
      <c r="F17" t="s">
        <v>36</v>
      </c>
      <c r="G17" t="s">
        <v>126</v>
      </c>
      <c r="H17" s="20"/>
      <c r="I17" s="21"/>
      <c r="J17">
        <v>100</v>
      </c>
      <c r="K17" s="34">
        <f t="shared" si="2"/>
        <v>79.976159999999993</v>
      </c>
      <c r="L17" s="34">
        <f t="shared" si="3"/>
        <v>109.05839999999999</v>
      </c>
      <c r="M17" s="34">
        <f t="shared" si="4"/>
        <v>138.14063999999999</v>
      </c>
      <c r="N17">
        <v>0.08</v>
      </c>
      <c r="O17" s="27">
        <f t="shared" si="5"/>
        <v>639.80927999999994</v>
      </c>
      <c r="P17" s="27">
        <f t="shared" si="23"/>
        <v>872.46719999999993</v>
      </c>
      <c r="Q17" s="27">
        <f t="shared" si="6"/>
        <v>1105.1251199999999</v>
      </c>
      <c r="R17" s="27"/>
      <c r="S17" s="27"/>
      <c r="T17" s="27"/>
      <c r="U17" s="18"/>
      <c r="V17">
        <v>2.3999999999999998E-3</v>
      </c>
      <c r="W17">
        <v>0.99760000000000004</v>
      </c>
      <c r="X17" s="94">
        <f t="shared" si="7"/>
        <v>1.5355422719999998</v>
      </c>
      <c r="Y17" s="94">
        <f t="shared" si="8"/>
        <v>2.0939212799999996</v>
      </c>
      <c r="Z17" s="94">
        <f t="shared" si="9"/>
        <v>2.6523002879999997</v>
      </c>
      <c r="AA17" s="94">
        <f t="shared" si="10"/>
        <v>638.27373772800001</v>
      </c>
      <c r="AB17" s="94">
        <f t="shared" si="11"/>
        <v>870.37327871999992</v>
      </c>
      <c r="AC17" s="94">
        <f t="shared" si="12"/>
        <v>1102.472819712</v>
      </c>
      <c r="AJ17" s="18"/>
      <c r="AK17">
        <v>1181</v>
      </c>
      <c r="AL17" s="34">
        <f t="shared" si="13"/>
        <v>0.13481735159817351</v>
      </c>
      <c r="AM17" s="34">
        <f t="shared" si="0"/>
        <v>0.86518264840182646</v>
      </c>
      <c r="AN17" s="94">
        <f t="shared" si="14"/>
        <v>86.050374915156169</v>
      </c>
      <c r="AO17" s="94">
        <f t="shared" si="15"/>
        <v>43.025187457578085</v>
      </c>
      <c r="AP17" s="94">
        <f t="shared" si="16"/>
        <v>595.2485502704219</v>
      </c>
      <c r="AQ17" s="27"/>
      <c r="AR17" s="27"/>
      <c r="AS17" s="94">
        <f t="shared" si="17"/>
        <v>117.3414203388493</v>
      </c>
      <c r="AT17" s="94">
        <f t="shared" si="18"/>
        <v>58.670710169424652</v>
      </c>
      <c r="AU17" s="27">
        <f t="shared" si="19"/>
        <v>811.70256855057528</v>
      </c>
      <c r="AV17" s="27"/>
      <c r="AW17" s="27"/>
      <c r="AX17" s="94">
        <f t="shared" si="20"/>
        <v>148.63246576254247</v>
      </c>
      <c r="AY17" s="94">
        <f t="shared" si="21"/>
        <v>74.316232881271233</v>
      </c>
      <c r="AZ17" s="27">
        <f t="shared" si="22"/>
        <v>1028.1565868307287</v>
      </c>
      <c r="BA17" s="27"/>
      <c r="BB17" s="27"/>
      <c r="BC17" s="18"/>
      <c r="BG17" s="3"/>
      <c r="BJ17" s="3"/>
      <c r="BM17" s="3"/>
      <c r="BP17" s="117"/>
      <c r="BT17" s="3"/>
      <c r="BW17" s="3"/>
      <c r="BZ17" s="3"/>
      <c r="CC17" s="121"/>
      <c r="CF17" s="27"/>
      <c r="CG17" s="27"/>
      <c r="CH17" s="27"/>
      <c r="CI17" s="27"/>
      <c r="CJ17" s="27"/>
      <c r="CK17" s="27"/>
      <c r="CL17" s="27"/>
      <c r="CM17" s="27"/>
      <c r="CN17" s="27"/>
      <c r="CO17" s="27"/>
      <c r="CP17" s="27"/>
      <c r="CQ17" s="27"/>
      <c r="CR17" s="27"/>
      <c r="CS17" s="27"/>
      <c r="CT17" s="27"/>
      <c r="CU17" s="27"/>
      <c r="CV17" s="27"/>
      <c r="CW17" s="27"/>
      <c r="CX17" s="121"/>
      <c r="DA17" s="27"/>
      <c r="DB17" s="27"/>
      <c r="DC17" s="27"/>
      <c r="DD17" s="27"/>
      <c r="DE17" s="27"/>
      <c r="DF17" s="27"/>
      <c r="DG17" s="27"/>
      <c r="DH17" s="27"/>
      <c r="DI17" s="27"/>
      <c r="DJ17" s="27"/>
      <c r="DK17" s="27"/>
      <c r="DL17" s="27"/>
      <c r="DM17" s="27"/>
      <c r="DN17" s="27"/>
      <c r="DO17" s="27"/>
      <c r="DP17" s="27"/>
      <c r="DQ17" s="27"/>
      <c r="DR17" s="27"/>
      <c r="DS17" s="121"/>
      <c r="DW17" s="3"/>
      <c r="DY17" s="38"/>
      <c r="DZ17" s="55"/>
      <c r="EA17" s="38"/>
      <c r="EB17" s="38"/>
      <c r="EC17" s="121"/>
      <c r="EG17" s="211"/>
      <c r="EI17" s="212"/>
      <c r="EJ17" s="213"/>
      <c r="EK17" s="212"/>
      <c r="EL17" s="219"/>
      <c r="EP17" s="211"/>
      <c r="ER17" s="212"/>
      <c r="ES17" s="213"/>
      <c r="ET17" s="212"/>
      <c r="EU17" s="219"/>
    </row>
    <row r="18" spans="1:153" x14ac:dyDescent="0.2">
      <c r="A18" s="3" t="s">
        <v>37</v>
      </c>
      <c r="B18">
        <v>1186.5</v>
      </c>
      <c r="C18">
        <v>901</v>
      </c>
      <c r="D18">
        <v>0.69</v>
      </c>
      <c r="E18">
        <v>0.16500000000000001</v>
      </c>
      <c r="F18" t="s">
        <v>38</v>
      </c>
      <c r="G18" t="s">
        <v>16</v>
      </c>
      <c r="H18" s="20"/>
      <c r="I18" s="21"/>
      <c r="J18">
        <v>819</v>
      </c>
      <c r="K18" s="34">
        <f t="shared" si="2"/>
        <v>79.976159999999993</v>
      </c>
      <c r="L18" s="34">
        <f t="shared" si="3"/>
        <v>109.05839999999999</v>
      </c>
      <c r="M18" s="34">
        <f t="shared" si="4"/>
        <v>138.14063999999999</v>
      </c>
      <c r="N18">
        <v>0.17</v>
      </c>
      <c r="O18" s="27">
        <f t="shared" si="5"/>
        <v>11135.0807568</v>
      </c>
      <c r="P18" s="27">
        <f t="shared" si="23"/>
        <v>15184.201032000001</v>
      </c>
      <c r="Q18" s="27">
        <f t="shared" si="6"/>
        <v>19233.3213072</v>
      </c>
      <c r="R18" s="27"/>
      <c r="S18" s="27"/>
      <c r="T18" s="27"/>
      <c r="U18" s="18"/>
      <c r="V18">
        <v>2.3999999999999998E-3</v>
      </c>
      <c r="W18">
        <v>0.99760000000000004</v>
      </c>
      <c r="X18" s="94">
        <f t="shared" si="7"/>
        <v>26.724193816319996</v>
      </c>
      <c r="Y18" s="94">
        <f t="shared" si="8"/>
        <v>36.442082476799996</v>
      </c>
      <c r="Z18" s="94">
        <f t="shared" si="9"/>
        <v>46.159971137279996</v>
      </c>
      <c r="AA18" s="94">
        <f t="shared" si="10"/>
        <v>11108.356562983681</v>
      </c>
      <c r="AB18" s="94">
        <f t="shared" si="11"/>
        <v>15147.758949523202</v>
      </c>
      <c r="AC18" s="94">
        <f t="shared" si="12"/>
        <v>19187.16133606272</v>
      </c>
      <c r="AJ18" s="18"/>
      <c r="AK18">
        <v>171</v>
      </c>
      <c r="AL18" s="34">
        <f t="shared" si="13"/>
        <v>1.9520547945205479E-2</v>
      </c>
      <c r="AM18" s="34">
        <f t="shared" si="0"/>
        <v>0.98047945205479448</v>
      </c>
      <c r="AN18" s="94">
        <f t="shared" si="14"/>
        <v>216.84120688016088</v>
      </c>
      <c r="AO18" s="94">
        <f t="shared" si="15"/>
        <v>108.42060344008044</v>
      </c>
      <c r="AP18" s="94">
        <f t="shared" si="16"/>
        <v>10999.935959543602</v>
      </c>
      <c r="AQ18" s="27"/>
      <c r="AR18" s="27"/>
      <c r="AS18" s="94">
        <f t="shared" si="17"/>
        <v>295.69255483658304</v>
      </c>
      <c r="AT18" s="94">
        <f t="shared" si="18"/>
        <v>147.84627741829152</v>
      </c>
      <c r="AU18" s="27">
        <f t="shared" si="19"/>
        <v>14999.912672104911</v>
      </c>
      <c r="AV18" s="27"/>
      <c r="AW18" s="27"/>
      <c r="AX18" s="94">
        <f t="shared" si="20"/>
        <v>374.54390279300515</v>
      </c>
      <c r="AY18" s="94">
        <f t="shared" si="21"/>
        <v>187.27195139650257</v>
      </c>
      <c r="AZ18" s="27">
        <f t="shared" si="22"/>
        <v>18999.889384666218</v>
      </c>
      <c r="BA18" s="27"/>
      <c r="BB18" s="27"/>
      <c r="BC18" s="18"/>
      <c r="BG18" s="3"/>
      <c r="BJ18" s="3"/>
      <c r="BM18" s="3"/>
      <c r="BP18" s="117"/>
      <c r="BT18" s="3"/>
      <c r="BW18" s="3"/>
      <c r="BZ18" s="3"/>
      <c r="CC18" s="121"/>
      <c r="CF18" s="27"/>
      <c r="CG18" s="27"/>
      <c r="CH18" s="27"/>
      <c r="CI18" s="27"/>
      <c r="CJ18" s="27"/>
      <c r="CK18" s="27"/>
      <c r="CL18" s="27"/>
      <c r="CM18" s="27"/>
      <c r="CN18" s="27"/>
      <c r="CO18" s="27"/>
      <c r="CP18" s="27"/>
      <c r="CQ18" s="27"/>
      <c r="CR18" s="27"/>
      <c r="CS18" s="27"/>
      <c r="CT18" s="27"/>
      <c r="CU18" s="27"/>
      <c r="CV18" s="27"/>
      <c r="CW18" s="27"/>
      <c r="CX18" s="121"/>
      <c r="DA18" s="27"/>
      <c r="DB18" s="27"/>
      <c r="DC18" s="27"/>
      <c r="DD18" s="27"/>
      <c r="DE18" s="27"/>
      <c r="DF18" s="27"/>
      <c r="DG18" s="27"/>
      <c r="DH18" s="27"/>
      <c r="DI18" s="27"/>
      <c r="DJ18" s="27"/>
      <c r="DK18" s="27"/>
      <c r="DL18" s="27"/>
      <c r="DM18" s="27"/>
      <c r="DN18" s="27"/>
      <c r="DO18" s="27"/>
      <c r="DP18" s="27"/>
      <c r="DQ18" s="27"/>
      <c r="DR18" s="27"/>
      <c r="DS18" s="121"/>
      <c r="DW18" s="3"/>
      <c r="DY18" s="38"/>
      <c r="DZ18" s="55"/>
      <c r="EA18" s="38"/>
      <c r="EB18" s="38"/>
      <c r="EC18" s="121"/>
      <c r="EG18" s="211"/>
      <c r="EI18" s="212"/>
      <c r="EJ18" s="213"/>
      <c r="EK18" s="212"/>
      <c r="EL18" s="219"/>
      <c r="EP18" s="211"/>
      <c r="ER18" s="212"/>
      <c r="ES18" s="213"/>
      <c r="ET18" s="212"/>
      <c r="EU18" s="219"/>
    </row>
    <row r="19" spans="1:153" x14ac:dyDescent="0.2">
      <c r="A19" s="3" t="s">
        <v>39</v>
      </c>
      <c r="B19">
        <v>1747</v>
      </c>
      <c r="C19">
        <v>901</v>
      </c>
      <c r="D19">
        <v>0.41</v>
      </c>
      <c r="F19" t="s">
        <v>40</v>
      </c>
      <c r="G19" t="s">
        <v>126</v>
      </c>
      <c r="H19" s="20"/>
      <c r="I19" s="21"/>
      <c r="J19">
        <v>716</v>
      </c>
      <c r="K19" s="34">
        <f t="shared" si="2"/>
        <v>79.976159999999993</v>
      </c>
      <c r="L19" s="34">
        <f t="shared" si="3"/>
        <v>109.05839999999999</v>
      </c>
      <c r="M19" s="34">
        <f t="shared" si="4"/>
        <v>138.14063999999999</v>
      </c>
      <c r="N19">
        <v>0.41</v>
      </c>
      <c r="O19" s="27">
        <f t="shared" si="5"/>
        <v>23477.801529599998</v>
      </c>
      <c r="P19" s="27">
        <f t="shared" si="23"/>
        <v>32015.183903999994</v>
      </c>
      <c r="Q19" s="27">
        <f t="shared" si="6"/>
        <v>40552.566278399994</v>
      </c>
      <c r="R19" s="27"/>
      <c r="S19" s="27"/>
      <c r="T19" s="27"/>
      <c r="U19" s="18"/>
      <c r="V19">
        <v>2.3999999999999998E-3</v>
      </c>
      <c r="W19">
        <v>0.99760000000000004</v>
      </c>
      <c r="X19" s="94">
        <f t="shared" si="7"/>
        <v>56.346723671039989</v>
      </c>
      <c r="Y19" s="94">
        <f t="shared" si="8"/>
        <v>76.836441369599981</v>
      </c>
      <c r="Z19" s="94">
        <f t="shared" si="9"/>
        <v>97.326159068159981</v>
      </c>
      <c r="AA19" s="94">
        <f t="shared" si="10"/>
        <v>23421.454805928959</v>
      </c>
      <c r="AB19" s="94">
        <f t="shared" si="11"/>
        <v>31938.347462630394</v>
      </c>
      <c r="AC19" s="94">
        <f t="shared" si="12"/>
        <v>40455.240119331836</v>
      </c>
      <c r="AJ19" s="18"/>
      <c r="AK19">
        <v>14</v>
      </c>
      <c r="AL19" s="34">
        <f t="shared" si="13"/>
        <v>1.5981735159817352E-3</v>
      </c>
      <c r="AM19" s="34">
        <f t="shared" si="0"/>
        <v>0.99840182648401832</v>
      </c>
      <c r="AN19" s="94">
        <f t="shared" si="14"/>
        <v>37.431548776598795</v>
      </c>
      <c r="AO19" s="94">
        <f t="shared" si="15"/>
        <v>18.715774388299398</v>
      </c>
      <c r="AP19" s="94">
        <f t="shared" si="16"/>
        <v>23402.739031540663</v>
      </c>
      <c r="AQ19" s="27"/>
      <c r="AR19" s="27"/>
      <c r="AS19" s="94">
        <f t="shared" si="17"/>
        <v>51.043021058998349</v>
      </c>
      <c r="AT19" s="94">
        <f t="shared" si="18"/>
        <v>25.521510529499174</v>
      </c>
      <c r="AU19" s="27">
        <f t="shared" si="19"/>
        <v>31912.825952100895</v>
      </c>
      <c r="AV19" s="27"/>
      <c r="AW19" s="27"/>
      <c r="AX19" s="94">
        <f t="shared" si="20"/>
        <v>64.654493341397909</v>
      </c>
      <c r="AY19" s="94">
        <f t="shared" si="21"/>
        <v>32.327246670698955</v>
      </c>
      <c r="AZ19" s="27">
        <f t="shared" si="22"/>
        <v>40422.912872661138</v>
      </c>
      <c r="BA19" s="27"/>
      <c r="BB19" s="27"/>
      <c r="BC19" s="18"/>
      <c r="BG19" s="3"/>
      <c r="BJ19" s="3"/>
      <c r="BM19" s="3"/>
      <c r="BP19" s="117"/>
      <c r="BT19" s="3"/>
      <c r="BW19" s="3"/>
      <c r="BZ19" s="3"/>
      <c r="CC19" s="121"/>
      <c r="CF19" s="27"/>
      <c r="CG19" s="27"/>
      <c r="CH19" s="27"/>
      <c r="CI19" s="27"/>
      <c r="CJ19" s="27"/>
      <c r="CK19" s="27"/>
      <c r="CL19" s="27"/>
      <c r="CM19" s="27"/>
      <c r="CN19" s="27"/>
      <c r="CO19" s="27"/>
      <c r="CP19" s="27"/>
      <c r="CQ19" s="27"/>
      <c r="CR19" s="27"/>
      <c r="CS19" s="27"/>
      <c r="CT19" s="27"/>
      <c r="CU19" s="27"/>
      <c r="CV19" s="27"/>
      <c r="CW19" s="27"/>
      <c r="CX19" s="121"/>
      <c r="DA19" s="27"/>
      <c r="DB19" s="27"/>
      <c r="DC19" s="27"/>
      <c r="DD19" s="27"/>
      <c r="DE19" s="27"/>
      <c r="DF19" s="27"/>
      <c r="DG19" s="27"/>
      <c r="DH19" s="27"/>
      <c r="DI19" s="27"/>
      <c r="DJ19" s="27"/>
      <c r="DK19" s="27"/>
      <c r="DL19" s="27"/>
      <c r="DM19" s="27"/>
      <c r="DN19" s="27"/>
      <c r="DO19" s="27"/>
      <c r="DP19" s="27"/>
      <c r="DQ19" s="27"/>
      <c r="DR19" s="27"/>
      <c r="DS19" s="121"/>
      <c r="DW19" s="3"/>
      <c r="DY19" s="38"/>
      <c r="DZ19" s="55"/>
      <c r="EA19" s="38"/>
      <c r="EB19" s="38"/>
      <c r="EC19" s="121"/>
      <c r="EG19" s="211"/>
      <c r="EI19" s="212"/>
      <c r="EJ19" s="213"/>
      <c r="EK19" s="212"/>
      <c r="EL19" s="219"/>
      <c r="EP19" s="211"/>
      <c r="ER19" s="212"/>
      <c r="ES19" s="213"/>
      <c r="ET19" s="212"/>
      <c r="EU19" s="219"/>
    </row>
    <row r="20" spans="1:153" x14ac:dyDescent="0.2">
      <c r="A20" s="3" t="s">
        <v>41</v>
      </c>
      <c r="B20">
        <v>1179</v>
      </c>
      <c r="C20">
        <v>10</v>
      </c>
      <c r="D20">
        <v>0.34</v>
      </c>
      <c r="E20">
        <v>0.25</v>
      </c>
      <c r="F20" t="s">
        <v>42</v>
      </c>
      <c r="G20" t="s">
        <v>11</v>
      </c>
      <c r="H20" s="20"/>
      <c r="I20" s="21"/>
      <c r="J20">
        <v>295</v>
      </c>
      <c r="K20" s="34">
        <f t="shared" si="2"/>
        <v>79.976159999999993</v>
      </c>
      <c r="L20" s="34">
        <f t="shared" si="3"/>
        <v>109.05839999999999</v>
      </c>
      <c r="M20" s="34">
        <f t="shared" si="4"/>
        <v>138.14063999999999</v>
      </c>
      <c r="N20">
        <v>0.25</v>
      </c>
      <c r="O20" s="27">
        <f t="shared" si="5"/>
        <v>5898.2417999999998</v>
      </c>
      <c r="P20" s="27">
        <f t="shared" si="23"/>
        <v>8043.0569999999998</v>
      </c>
      <c r="Q20" s="27">
        <f t="shared" si="6"/>
        <v>10187.8722</v>
      </c>
      <c r="R20" s="27"/>
      <c r="S20" s="27"/>
      <c r="T20" s="27"/>
      <c r="U20" s="18"/>
      <c r="V20">
        <v>2.3999999999999998E-3</v>
      </c>
      <c r="W20">
        <v>0.99760000000000004</v>
      </c>
      <c r="X20" s="94">
        <f t="shared" si="7"/>
        <v>14.155780319999998</v>
      </c>
      <c r="Y20" s="94">
        <f t="shared" si="8"/>
        <v>19.303336799999997</v>
      </c>
      <c r="Z20" s="94">
        <f t="shared" si="9"/>
        <v>24.450893279999999</v>
      </c>
      <c r="AA20" s="94">
        <f t="shared" si="10"/>
        <v>5884.0860196800004</v>
      </c>
      <c r="AB20" s="94">
        <f t="shared" si="11"/>
        <v>8023.7536632000001</v>
      </c>
      <c r="AC20" s="94">
        <f t="shared" si="12"/>
        <v>10163.42130672</v>
      </c>
      <c r="AJ20" s="18"/>
      <c r="AK20">
        <v>39</v>
      </c>
      <c r="AL20" s="34">
        <f t="shared" si="13"/>
        <v>4.4520547945205479E-3</v>
      </c>
      <c r="AM20" s="34">
        <f t="shared" si="0"/>
        <v>0.9955479452054794</v>
      </c>
      <c r="AN20" s="94">
        <f t="shared" si="14"/>
        <v>26.196273375287671</v>
      </c>
      <c r="AO20" s="94">
        <f t="shared" si="15"/>
        <v>13.098136687643835</v>
      </c>
      <c r="AP20" s="94">
        <f t="shared" si="16"/>
        <v>5870.9878829923564</v>
      </c>
      <c r="AQ20" s="27"/>
      <c r="AR20" s="27"/>
      <c r="AS20" s="94">
        <f t="shared" si="17"/>
        <v>35.722190966301369</v>
      </c>
      <c r="AT20" s="94">
        <f t="shared" si="18"/>
        <v>17.861095483150685</v>
      </c>
      <c r="AU20" s="27">
        <f t="shared" si="19"/>
        <v>8005.892567716849</v>
      </c>
      <c r="AV20" s="27"/>
      <c r="AW20" s="27"/>
      <c r="AX20" s="94">
        <f t="shared" si="20"/>
        <v>45.248108557315064</v>
      </c>
      <c r="AY20" s="94">
        <f t="shared" si="21"/>
        <v>22.624054278657532</v>
      </c>
      <c r="AZ20" s="27">
        <f t="shared" si="22"/>
        <v>10140.797252441342</v>
      </c>
      <c r="BA20" s="27"/>
      <c r="BB20" s="27"/>
      <c r="BC20" s="18"/>
      <c r="BG20" s="3"/>
      <c r="BJ20" s="3"/>
      <c r="BM20" s="3"/>
      <c r="BP20" s="117"/>
      <c r="BQ20" t="s">
        <v>270</v>
      </c>
      <c r="BT20" s="3"/>
      <c r="BW20" s="3"/>
      <c r="BZ20" s="3"/>
      <c r="CC20" s="121"/>
      <c r="CF20" s="27"/>
      <c r="CG20" s="27"/>
      <c r="CH20" s="27"/>
      <c r="CI20" s="27"/>
      <c r="CJ20" s="27"/>
      <c r="CK20" s="27"/>
      <c r="CL20" s="27"/>
      <c r="CM20" s="27"/>
      <c r="CN20" s="27"/>
      <c r="CO20" s="27"/>
      <c r="CP20" s="27"/>
      <c r="CQ20" s="27"/>
      <c r="CR20" s="27"/>
      <c r="CS20" s="27"/>
      <c r="CT20" s="27"/>
      <c r="CU20" s="27"/>
      <c r="CV20" s="27"/>
      <c r="CW20" s="27"/>
      <c r="CX20" s="121"/>
      <c r="DA20" s="27"/>
      <c r="DB20" s="27"/>
      <c r="DC20" s="27"/>
      <c r="DD20" s="27"/>
      <c r="DE20" s="27"/>
      <c r="DF20" s="27"/>
      <c r="DG20" s="27"/>
      <c r="DH20" s="27"/>
      <c r="DI20" s="27"/>
      <c r="DJ20" s="27"/>
      <c r="DK20" s="27"/>
      <c r="DL20" s="27"/>
      <c r="DM20" s="27"/>
      <c r="DN20" s="27"/>
      <c r="DO20" s="27"/>
      <c r="DP20" s="27"/>
      <c r="DQ20" s="27"/>
      <c r="DR20" s="27"/>
      <c r="DS20" s="121"/>
      <c r="DW20" s="3"/>
      <c r="DY20" s="38"/>
      <c r="DZ20" s="55"/>
      <c r="EA20" s="38"/>
      <c r="EB20" s="38"/>
      <c r="EC20" s="121"/>
      <c r="EG20" s="211"/>
      <c r="EI20" s="212"/>
      <c r="EJ20" s="213"/>
      <c r="EK20" s="212"/>
      <c r="EL20" s="219"/>
      <c r="EP20" s="211"/>
      <c r="ER20" s="212"/>
      <c r="ES20" s="213"/>
      <c r="ET20" s="212"/>
      <c r="EU20" s="219"/>
    </row>
    <row r="21" spans="1:153" x14ac:dyDescent="0.2">
      <c r="A21" s="3" t="s">
        <v>43</v>
      </c>
      <c r="B21">
        <v>1760</v>
      </c>
      <c r="C21">
        <v>7</v>
      </c>
      <c r="D21">
        <v>0.78</v>
      </c>
      <c r="F21" t="s">
        <v>44</v>
      </c>
      <c r="G21" t="s">
        <v>30</v>
      </c>
      <c r="H21" s="20"/>
      <c r="I21" s="21"/>
      <c r="J21">
        <v>7</v>
      </c>
      <c r="K21" s="34">
        <f t="shared" si="2"/>
        <v>79.976159999999993</v>
      </c>
      <c r="L21" s="34">
        <f t="shared" si="3"/>
        <v>109.05839999999999</v>
      </c>
      <c r="M21" s="34">
        <f t="shared" si="4"/>
        <v>138.14063999999999</v>
      </c>
      <c r="N21">
        <v>0.78</v>
      </c>
      <c r="O21" s="27">
        <f t="shared" si="5"/>
        <v>436.6698336</v>
      </c>
      <c r="P21" s="27">
        <f t="shared" si="23"/>
        <v>595.45886399999995</v>
      </c>
      <c r="Q21" s="27">
        <f t="shared" si="6"/>
        <v>754.24789439999995</v>
      </c>
      <c r="R21" s="27"/>
      <c r="S21" s="27"/>
      <c r="T21" s="27"/>
      <c r="U21" s="18"/>
      <c r="V21">
        <v>2.3999999999999998E-3</v>
      </c>
      <c r="W21">
        <v>0.99760000000000004</v>
      </c>
      <c r="X21" s="94">
        <f t="shared" si="7"/>
        <v>1.0480076006399999</v>
      </c>
      <c r="Y21" s="94">
        <f t="shared" si="8"/>
        <v>1.4291012735999997</v>
      </c>
      <c r="Z21" s="94">
        <f t="shared" si="9"/>
        <v>1.8101949465599998</v>
      </c>
      <c r="AA21" s="94">
        <f t="shared" si="10"/>
        <v>435.62182599936</v>
      </c>
      <c r="AB21" s="94">
        <f t="shared" si="11"/>
        <v>594.02976272640001</v>
      </c>
      <c r="AC21" s="94">
        <f t="shared" si="12"/>
        <v>752.43769945344002</v>
      </c>
      <c r="AJ21" s="18"/>
      <c r="AK21">
        <v>2027</v>
      </c>
      <c r="AL21" s="34">
        <f t="shared" si="13"/>
        <v>0.23139269406392693</v>
      </c>
      <c r="AM21" s="34">
        <f t="shared" si="0"/>
        <v>0.76860730593607307</v>
      </c>
      <c r="AN21" s="94">
        <f t="shared" si="14"/>
        <v>100.79970791103912</v>
      </c>
      <c r="AO21" s="94">
        <f t="shared" si="15"/>
        <v>50.399853955519561</v>
      </c>
      <c r="AP21" s="94">
        <f t="shared" si="16"/>
        <v>385.22197204384048</v>
      </c>
      <c r="AQ21" s="27"/>
      <c r="AR21" s="27"/>
      <c r="AS21" s="94">
        <f t="shared" si="17"/>
        <v>137.45414715141698</v>
      </c>
      <c r="AT21" s="94">
        <f t="shared" si="18"/>
        <v>68.727073575708488</v>
      </c>
      <c r="AU21" s="27">
        <f t="shared" si="19"/>
        <v>525.30268915069155</v>
      </c>
      <c r="AV21" s="27"/>
      <c r="AW21" s="27"/>
      <c r="AX21" s="94">
        <f t="shared" si="20"/>
        <v>174.10858639179486</v>
      </c>
      <c r="AY21" s="94">
        <f t="shared" si="21"/>
        <v>87.054293195897429</v>
      </c>
      <c r="AZ21" s="27">
        <f t="shared" si="22"/>
        <v>665.38340625754267</v>
      </c>
      <c r="BA21" s="27"/>
      <c r="BB21" s="27"/>
      <c r="BC21" s="18"/>
      <c r="BG21" s="3"/>
      <c r="BJ21" s="3"/>
      <c r="BM21" s="3"/>
      <c r="BP21" s="117"/>
      <c r="BT21" s="3"/>
      <c r="BW21" s="3"/>
      <c r="BZ21" s="3"/>
      <c r="CC21" s="121"/>
      <c r="CF21" s="27"/>
      <c r="CG21" s="27"/>
      <c r="CH21" s="27"/>
      <c r="CI21" s="27"/>
      <c r="CJ21" s="27"/>
      <c r="CK21" s="27"/>
      <c r="CL21" s="27"/>
      <c r="CM21" s="27"/>
      <c r="CN21" s="27"/>
      <c r="CO21" s="27"/>
      <c r="CP21" s="27"/>
      <c r="CQ21" s="27"/>
      <c r="CR21" s="27"/>
      <c r="CS21" s="27"/>
      <c r="CT21" s="27"/>
      <c r="CU21" s="27"/>
      <c r="CV21" s="27"/>
      <c r="CW21" s="27"/>
      <c r="CX21" s="121"/>
      <c r="DA21" s="27"/>
      <c r="DB21" s="27"/>
      <c r="DC21" s="27"/>
      <c r="DD21" s="27"/>
      <c r="DE21" s="27"/>
      <c r="DF21" s="27"/>
      <c r="DG21" s="27"/>
      <c r="DH21" s="27"/>
      <c r="DI21" s="27"/>
      <c r="DJ21" s="27"/>
      <c r="DK21" s="27"/>
      <c r="DL21" s="27"/>
      <c r="DM21" s="27"/>
      <c r="DN21" s="27"/>
      <c r="DO21" s="27"/>
      <c r="DP21" s="27"/>
      <c r="DQ21" s="27"/>
      <c r="DR21" s="27"/>
      <c r="DS21" s="121"/>
      <c r="DW21" s="3"/>
      <c r="DY21" s="38"/>
      <c r="DZ21" s="55"/>
      <c r="EA21" s="38"/>
      <c r="EB21" s="38"/>
      <c r="EC21" s="121"/>
      <c r="EG21" s="211"/>
      <c r="EI21" s="212"/>
      <c r="EJ21" s="213"/>
      <c r="EK21" s="212"/>
      <c r="EL21" s="219"/>
      <c r="EP21" s="211"/>
      <c r="ER21" s="212"/>
      <c r="ES21" s="213"/>
      <c r="ET21" s="212"/>
      <c r="EU21" s="219"/>
    </row>
    <row r="22" spans="1:153" x14ac:dyDescent="0.2">
      <c r="A22" s="3" t="s">
        <v>45</v>
      </c>
      <c r="B22">
        <v>1760</v>
      </c>
      <c r="C22">
        <v>7</v>
      </c>
      <c r="D22">
        <v>14.26</v>
      </c>
      <c r="F22" t="s">
        <v>44</v>
      </c>
      <c r="G22" t="s">
        <v>30</v>
      </c>
      <c r="H22" s="20"/>
      <c r="I22" s="21"/>
      <c r="J22">
        <v>7</v>
      </c>
      <c r="K22" s="34">
        <f t="shared" si="2"/>
        <v>79.976159999999993</v>
      </c>
      <c r="L22" s="34">
        <f t="shared" si="3"/>
        <v>109.05839999999999</v>
      </c>
      <c r="M22" s="34">
        <f t="shared" si="4"/>
        <v>138.14063999999999</v>
      </c>
      <c r="N22">
        <v>14.26</v>
      </c>
      <c r="O22" s="27">
        <f t="shared" si="5"/>
        <v>7983.2202912000002</v>
      </c>
      <c r="P22" s="27">
        <f t="shared" si="23"/>
        <v>10886.209487999999</v>
      </c>
      <c r="Q22" s="27">
        <f t="shared" si="6"/>
        <v>13789.1986848</v>
      </c>
      <c r="R22" s="27"/>
      <c r="S22" s="27"/>
      <c r="T22" s="27"/>
      <c r="U22" s="18"/>
      <c r="V22">
        <v>2.3999999999999998E-3</v>
      </c>
      <c r="W22">
        <v>0.99760000000000004</v>
      </c>
      <c r="X22" s="94">
        <f t="shared" si="7"/>
        <v>19.159728698879999</v>
      </c>
      <c r="Y22" s="94">
        <f t="shared" si="8"/>
        <v>26.126902771199994</v>
      </c>
      <c r="Z22" s="94">
        <f t="shared" si="9"/>
        <v>33.094076843519993</v>
      </c>
      <c r="AA22" s="94">
        <f t="shared" si="10"/>
        <v>7964.0605625011203</v>
      </c>
      <c r="AB22" s="94">
        <f t="shared" si="11"/>
        <v>10860.0825852288</v>
      </c>
      <c r="AC22" s="94">
        <f t="shared" si="12"/>
        <v>13756.10460795648</v>
      </c>
      <c r="AJ22" s="18"/>
      <c r="AK22">
        <v>1086</v>
      </c>
      <c r="AL22" s="34">
        <f>$AK22/8760</f>
        <v>0.12397260273972603</v>
      </c>
      <c r="AM22" s="34">
        <f t="shared" si="0"/>
        <v>0.87602739726027401</v>
      </c>
      <c r="AN22" s="94">
        <f t="shared" si="14"/>
        <v>987.32531631007043</v>
      </c>
      <c r="AO22" s="94">
        <f t="shared" si="15"/>
        <v>493.66265815503522</v>
      </c>
      <c r="AP22" s="94">
        <f t="shared" si="16"/>
        <v>7470.3979043460859</v>
      </c>
      <c r="AQ22" s="27"/>
      <c r="AR22" s="27"/>
      <c r="AS22" s="94">
        <f t="shared" si="17"/>
        <v>1346.3527040591869</v>
      </c>
      <c r="AT22" s="94">
        <f t="shared" si="18"/>
        <v>673.17635202959343</v>
      </c>
      <c r="AU22" s="27">
        <f t="shared" si="19"/>
        <v>10186.906233199206</v>
      </c>
      <c r="AV22" s="27"/>
      <c r="AW22" s="27"/>
      <c r="AX22" s="94">
        <f t="shared" si="20"/>
        <v>1705.3800918083034</v>
      </c>
      <c r="AY22" s="94">
        <f t="shared" si="21"/>
        <v>852.6900459041517</v>
      </c>
      <c r="AZ22" s="27">
        <f t="shared" si="22"/>
        <v>12903.414562052329</v>
      </c>
      <c r="BA22" s="27"/>
      <c r="BB22" s="27"/>
      <c r="BC22" s="18"/>
      <c r="BG22" s="3"/>
      <c r="BJ22" s="3"/>
      <c r="BM22" s="3"/>
      <c r="BP22" s="117"/>
      <c r="BT22" s="3"/>
      <c r="BW22" s="3"/>
      <c r="BZ22" s="3"/>
      <c r="CC22" s="121"/>
      <c r="CF22" s="27"/>
      <c r="CG22" s="27"/>
      <c r="CH22" s="27"/>
      <c r="CI22" s="27"/>
      <c r="CJ22" s="27"/>
      <c r="CK22" s="27"/>
      <c r="CL22" s="27"/>
      <c r="CM22" s="27"/>
      <c r="CN22" s="27"/>
      <c r="CO22" s="27"/>
      <c r="CP22" s="27"/>
      <c r="CQ22" s="27"/>
      <c r="CR22" s="27"/>
      <c r="CS22" s="27"/>
      <c r="CT22" s="27"/>
      <c r="CU22" s="27"/>
      <c r="CV22" s="27"/>
      <c r="CW22" s="27"/>
      <c r="CX22" s="121"/>
      <c r="DA22" s="27"/>
      <c r="DB22" s="27"/>
      <c r="DC22" s="27"/>
      <c r="DD22" s="27"/>
      <c r="DE22" s="27"/>
      <c r="DF22" s="27"/>
      <c r="DG22" s="27"/>
      <c r="DH22" s="27"/>
      <c r="DI22" s="27"/>
      <c r="DJ22" s="27"/>
      <c r="DK22" s="27"/>
      <c r="DL22" s="27"/>
      <c r="DM22" s="27"/>
      <c r="DN22" s="27"/>
      <c r="DO22" s="27"/>
      <c r="DP22" s="27"/>
      <c r="DQ22" s="27"/>
      <c r="DR22" s="27"/>
      <c r="DS22" s="121"/>
      <c r="DW22" s="3"/>
      <c r="DY22" s="38"/>
      <c r="DZ22" s="55"/>
      <c r="EA22" s="38"/>
      <c r="EB22" s="38"/>
      <c r="EC22" s="121"/>
      <c r="EG22" s="211"/>
      <c r="EI22" s="212"/>
      <c r="EJ22" s="213"/>
      <c r="EK22" s="212"/>
      <c r="EL22" s="219"/>
      <c r="EP22" s="211"/>
      <c r="ER22" s="212"/>
      <c r="ES22" s="213"/>
      <c r="ET22" s="212"/>
      <c r="EU22" s="219"/>
    </row>
    <row r="23" spans="1:153" x14ac:dyDescent="0.2">
      <c r="A23" s="3"/>
      <c r="H23" s="20"/>
      <c r="I23" s="21"/>
      <c r="U23" s="18"/>
      <c r="AJ23" s="18"/>
      <c r="BC23" s="18"/>
      <c r="BG23" s="3"/>
      <c r="BJ23" s="3"/>
      <c r="BM23" s="3"/>
      <c r="BP23" s="117"/>
      <c r="BT23" s="3"/>
      <c r="BW23" s="3"/>
      <c r="BZ23" s="3"/>
      <c r="CC23" s="121"/>
      <c r="CF23" s="27"/>
      <c r="CG23" s="27"/>
      <c r="CH23" s="27"/>
      <c r="CI23" s="27"/>
      <c r="CJ23" s="27"/>
      <c r="CK23" s="27"/>
      <c r="CL23" s="27"/>
      <c r="CM23" s="27"/>
      <c r="CN23" s="27"/>
      <c r="CO23" s="27"/>
      <c r="CP23" s="27"/>
      <c r="CQ23" s="27"/>
      <c r="CR23" s="27"/>
      <c r="CS23" s="27"/>
      <c r="CT23" s="27"/>
      <c r="CU23" s="27"/>
      <c r="CV23" s="27"/>
      <c r="CW23" s="27"/>
      <c r="CX23" s="121"/>
      <c r="DA23" s="27"/>
      <c r="DB23" s="27"/>
      <c r="DC23" s="27"/>
      <c r="DD23" s="27"/>
      <c r="DE23" s="27"/>
      <c r="DF23" s="27"/>
      <c r="DG23" s="27"/>
      <c r="DH23" s="27"/>
      <c r="DI23" s="27"/>
      <c r="DJ23" s="27"/>
      <c r="DK23" s="27"/>
      <c r="DL23" s="27"/>
      <c r="DM23" s="27"/>
      <c r="DN23" s="27"/>
      <c r="DO23" s="27"/>
      <c r="DP23" s="27"/>
      <c r="DQ23" s="27"/>
      <c r="DR23" s="27"/>
      <c r="DS23" s="121"/>
      <c r="DW23" s="3"/>
      <c r="DY23" s="38"/>
      <c r="DZ23" s="55"/>
      <c r="EA23" s="38"/>
      <c r="EB23" s="38"/>
      <c r="EC23" s="121"/>
      <c r="EG23" s="211"/>
      <c r="EI23" s="212"/>
      <c r="EJ23" s="213"/>
      <c r="EK23" s="212"/>
      <c r="EL23" s="219"/>
      <c r="EP23" s="211"/>
      <c r="ER23" s="212"/>
      <c r="ES23" s="213"/>
      <c r="ET23" s="212"/>
      <c r="EU23" s="219"/>
    </row>
    <row r="24" spans="1:153" ht="19" x14ac:dyDescent="0.25">
      <c r="A24" s="24" t="s">
        <v>412</v>
      </c>
      <c r="B24" s="11"/>
      <c r="C24" s="11"/>
      <c r="D24" s="11"/>
      <c r="E24" s="11"/>
      <c r="F24" s="11"/>
      <c r="G24" s="11"/>
      <c r="H24" s="20"/>
      <c r="I24" s="21"/>
      <c r="J24" s="11"/>
      <c r="K24" s="223"/>
      <c r="L24" s="223"/>
      <c r="M24" s="223"/>
      <c r="N24" s="11"/>
      <c r="O24" s="11"/>
      <c r="P24" s="11"/>
      <c r="Q24" s="11"/>
      <c r="R24" s="11"/>
      <c r="S24" s="11"/>
      <c r="T24" s="11"/>
      <c r="U24" s="18"/>
      <c r="AJ24" s="18"/>
      <c r="AK24" s="11"/>
      <c r="AL24" s="11"/>
      <c r="AM24" s="11"/>
      <c r="AN24" s="11"/>
      <c r="AO24" s="11"/>
      <c r="AP24" s="11"/>
      <c r="AQ24" s="11"/>
      <c r="AR24" s="11"/>
      <c r="AS24" s="11"/>
      <c r="AT24" s="11"/>
      <c r="AU24" s="11"/>
      <c r="AV24" s="11"/>
      <c r="AW24" s="11"/>
      <c r="AX24" s="11"/>
      <c r="AY24" s="11"/>
      <c r="AZ24" s="11"/>
      <c r="BA24" s="11"/>
      <c r="BB24" s="11"/>
      <c r="BC24" s="18"/>
      <c r="BD24" s="11"/>
      <c r="BE24" s="11"/>
      <c r="BF24" s="11"/>
      <c r="BG24" s="48"/>
      <c r="BH24" s="11"/>
      <c r="BI24" s="11"/>
      <c r="BJ24" s="48"/>
      <c r="BK24" s="11"/>
      <c r="BL24" s="11"/>
      <c r="BM24" s="48"/>
      <c r="BN24" s="11"/>
      <c r="BO24" s="11"/>
      <c r="BP24" s="117"/>
      <c r="BQ24" s="48"/>
      <c r="BR24" s="11"/>
      <c r="BS24" s="11"/>
      <c r="BT24" s="48"/>
      <c r="BU24" s="11"/>
      <c r="BV24" s="11"/>
      <c r="BW24" s="48"/>
      <c r="BX24" s="11"/>
      <c r="BY24" s="11"/>
      <c r="BZ24" s="48"/>
      <c r="CA24" s="11"/>
      <c r="CB24" s="11"/>
      <c r="CC24" s="121"/>
      <c r="CD24" s="48"/>
      <c r="CE24" s="125"/>
      <c r="CF24" s="139"/>
      <c r="CG24" s="139"/>
      <c r="CH24" s="139"/>
      <c r="CI24" s="139"/>
      <c r="CJ24" s="139"/>
      <c r="CK24" s="174"/>
      <c r="CL24" s="139"/>
      <c r="CM24" s="139"/>
      <c r="CN24" s="139"/>
      <c r="CO24" s="139"/>
      <c r="CP24" s="139"/>
      <c r="CQ24" s="174"/>
      <c r="CR24" s="139"/>
      <c r="CS24" s="139"/>
      <c r="CT24" s="139"/>
      <c r="CU24" s="139"/>
      <c r="CV24" s="139"/>
      <c r="CW24" s="139"/>
      <c r="CX24" s="121"/>
      <c r="CY24" s="139"/>
      <c r="CZ24" s="139"/>
      <c r="DA24" s="139"/>
      <c r="DB24" s="139"/>
      <c r="DC24" s="139"/>
      <c r="DD24" s="139"/>
      <c r="DE24" s="139"/>
      <c r="DF24" s="139"/>
      <c r="DG24" s="139"/>
      <c r="DH24" s="139"/>
      <c r="DI24" s="139"/>
      <c r="DJ24" s="139"/>
      <c r="DK24" s="139"/>
      <c r="DL24" s="139"/>
      <c r="DM24" s="139"/>
      <c r="DN24" s="139"/>
      <c r="DO24" s="139"/>
      <c r="DP24" s="139"/>
      <c r="DQ24" s="139"/>
      <c r="DR24" s="139"/>
      <c r="DS24" s="121"/>
      <c r="DT24" s="11"/>
      <c r="DU24" s="11"/>
      <c r="DV24" s="39"/>
      <c r="DW24" s="48"/>
      <c r="DX24" s="11"/>
      <c r="DY24" s="39"/>
      <c r="DZ24" s="56"/>
      <c r="EA24" s="39"/>
      <c r="EB24" s="39"/>
      <c r="EC24" s="121"/>
      <c r="ED24" s="175"/>
      <c r="EE24" s="175"/>
      <c r="EF24" s="202"/>
      <c r="EG24" s="214"/>
      <c r="EH24" s="175"/>
      <c r="EI24" s="202"/>
      <c r="EJ24" s="215"/>
      <c r="EK24" s="202"/>
      <c r="EL24" s="216"/>
      <c r="EM24" s="175"/>
      <c r="EN24" s="175"/>
      <c r="EO24" s="202"/>
      <c r="EP24" s="214"/>
      <c r="EQ24" s="175"/>
      <c r="ER24" s="202"/>
      <c r="ES24" s="215"/>
      <c r="ET24" s="202"/>
      <c r="EU24" s="216"/>
    </row>
    <row r="25" spans="1:153" x14ac:dyDescent="0.2">
      <c r="A25" s="3" t="s">
        <v>47</v>
      </c>
      <c r="B25">
        <v>1362</v>
      </c>
      <c r="C25">
        <v>101</v>
      </c>
      <c r="D25">
        <v>14.28</v>
      </c>
      <c r="E25">
        <v>0.57999999999999996</v>
      </c>
      <c r="F25" s="2">
        <f t="shared" ref="F25:F36" si="24">B25*E25</f>
        <v>789.95999999999992</v>
      </c>
      <c r="G25" t="s">
        <v>11</v>
      </c>
      <c r="H25" s="20"/>
      <c r="I25" s="21"/>
      <c r="J25">
        <v>790</v>
      </c>
      <c r="K25" s="34">
        <f t="shared" ref="K25:K50" si="25" xml:space="preserve"> 0.121 * 6 * 110.16</f>
        <v>79.976159999999993</v>
      </c>
      <c r="L25" s="34">
        <f t="shared" ref="L25:L50" si="26" xml:space="preserve"> 0.165 * 6 * 110.16</f>
        <v>109.05839999999999</v>
      </c>
      <c r="M25" s="34">
        <f t="shared" ref="M25:M50" si="27" xml:space="preserve"> 0.209 *6 * 110.16</f>
        <v>138.14063999999999</v>
      </c>
      <c r="N25">
        <v>14.28</v>
      </c>
      <c r="O25" s="27">
        <f t="shared" ref="O25:O50" si="28">$J25*$K25*$N25</f>
        <v>902227.05619199993</v>
      </c>
      <c r="P25" s="27">
        <f t="shared" ref="P25:P50" si="29">J25*L25*N25</f>
        <v>1230309.6220799999</v>
      </c>
      <c r="Q25" s="27">
        <f t="shared" ref="Q25:Q50" si="30">$J25*$M25*$N25</f>
        <v>1558392.1879679998</v>
      </c>
      <c r="R25" s="27">
        <f>$O25+$O26+$O27+$O28+$O29+$O30+$O31+$O32+$O33+$O34+$O35+$O36+$O37+$O38+$O39+$O40+$O41+$O42+$O43+$O44+$O45+$O46+$O47+$O48+$O49+$O50</f>
        <v>3577335.2363231997</v>
      </c>
      <c r="S25" s="27">
        <f>P25+P26+P27+P28+P29+P30+P31+P32+P33+P34+P35+P36+P37+P38+P39+P40+P41+P42+P43+P44+P45+P46+P47+P48+P49+P50</f>
        <v>4878184.4131679991</v>
      </c>
      <c r="T25" s="27">
        <f>Q25+Q26+Q27+Q28+Q29+Q30+Q31+Q32+Q33+Q34+Q35+Q36+Q37+Q38+Q39+Q40+Q41+Q42+Q43+Q44+Q45+Q46+Q47+Q48+Q49+Q50</f>
        <v>6179033.5900128018</v>
      </c>
      <c r="U25" s="18"/>
      <c r="V25">
        <v>2.3999999999999998E-3</v>
      </c>
      <c r="W25">
        <v>0.99760000000000004</v>
      </c>
      <c r="X25" s="94">
        <f t="shared" ref="X25:X50" si="31" xml:space="preserve"> O25 * V25</f>
        <v>2165.3449348607996</v>
      </c>
      <c r="Y25" s="94">
        <f t="shared" ref="Y25:Y50" si="32" xml:space="preserve"> P25 * V25</f>
        <v>2952.7430929919997</v>
      </c>
      <c r="Z25" s="94">
        <f t="shared" ref="Z25:Z50" si="33" xml:space="preserve"> Q25 * V25</f>
        <v>3740.1412511231993</v>
      </c>
      <c r="AA25" s="94">
        <f t="shared" ref="AA25:AA50" si="34" xml:space="preserve"> O25 * W25</f>
        <v>900061.71125713922</v>
      </c>
      <c r="AB25" s="94">
        <f t="shared" ref="AB25:AB50" si="35" xml:space="preserve"> P25 * W25</f>
        <v>1227356.878987008</v>
      </c>
      <c r="AC25" s="94">
        <f t="shared" ref="AC25:AC50" si="36" xml:space="preserve"> Q25 * W25</f>
        <v>1554652.0467168768</v>
      </c>
      <c r="AD25" s="27">
        <f xml:space="preserve"> R25 * V25</f>
        <v>8585.6045671756783</v>
      </c>
      <c r="AE25" s="27">
        <f xml:space="preserve"> S25 * V25</f>
        <v>11707.642591603197</v>
      </c>
      <c r="AF25" s="27">
        <f xml:space="preserve"> T25 * V25</f>
        <v>14829.680616030722</v>
      </c>
      <c r="AG25" s="27">
        <f xml:space="preserve"> R25 * W25</f>
        <v>3568749.631756024</v>
      </c>
      <c r="AH25" s="27">
        <f xml:space="preserve"> S25 * W25</f>
        <v>4866476.770576396</v>
      </c>
      <c r="AI25" s="27">
        <f xml:space="preserve"> T25  * W25</f>
        <v>6164203.9093967713</v>
      </c>
      <c r="AJ25" s="18"/>
      <c r="AK25">
        <v>426</v>
      </c>
      <c r="AL25" s="34">
        <f>$AK25/8760</f>
        <v>4.8630136986301371E-2</v>
      </c>
      <c r="AM25" s="34">
        <f t="shared" ref="AM25:AM35" si="37">1- AL25</f>
        <v>0.95136986301369864</v>
      </c>
      <c r="AN25" s="94">
        <f t="shared" ref="AN25:AN50" si="38">$AA25*$AL25</f>
        <v>43770.124314559514</v>
      </c>
      <c r="AO25" s="94">
        <f t="shared" ref="AO25:AO35" si="39" xml:space="preserve"> AN25 / 2</f>
        <v>21885.062157279757</v>
      </c>
      <c r="AP25" s="94">
        <f t="shared" ref="AP25:AP35" si="40">$AA25*$AM25 + AO25</f>
        <v>878176.64909985953</v>
      </c>
      <c r="AQ25" s="27">
        <f xml:space="preserve"> SUM(AO25:AO50)</f>
        <v>38293.947309831376</v>
      </c>
      <c r="AR25" s="27">
        <f xml:space="preserve"> SUM(AP25:AP50)</f>
        <v>3530455.6844461923</v>
      </c>
      <c r="AS25" s="94">
        <f t="shared" ref="AS25:AS35" si="41">$AL25*$AB25</f>
        <v>59686.533156217512</v>
      </c>
      <c r="AT25" s="94">
        <f t="shared" ref="AT25:AT35" si="42" xml:space="preserve"> AS25 / 2</f>
        <v>29843.266578108756</v>
      </c>
      <c r="AU25" s="27">
        <f t="shared" ref="AU25:AU35" si="43">$AM25*$AB25 + AT25</f>
        <v>1197513.6124088992</v>
      </c>
      <c r="AV25" s="27">
        <f>SUM(AT25:AT50)</f>
        <v>52219.01905886094</v>
      </c>
      <c r="AW25" s="27">
        <f>$AU25+$AU26+$AU27+$AU28+$AU29+$AU30+$AU31+$AU32+$AU33+$AU34+$AU35+$AU36+$AU37+$AU38+$AU39+$AU40+$AU41+$AU42+$AU43+$AU44+$AU45+$AU46+$AU47+$AU$48+$AU49+$AU50</f>
        <v>4814257.7515175361</v>
      </c>
      <c r="AX25" s="94">
        <f t="shared" ref="AX25:AX50" si="44">$AL25*$AC25</f>
        <v>75602.941997875518</v>
      </c>
      <c r="AY25" s="94">
        <f t="shared" ref="AY25:AY35" si="45" xml:space="preserve"> AX25 / 2</f>
        <v>37801.470998937759</v>
      </c>
      <c r="AZ25" s="27">
        <f t="shared" ref="AZ25:AZ35" si="46">$AM25*$AC25 + AY25</f>
        <v>1516850.5757179391</v>
      </c>
      <c r="BA25" s="27">
        <f>SUM(AY25:AY50)</f>
        <v>66144.090807890534</v>
      </c>
      <c r="BB25" s="27">
        <f>$AZ25+$AZ26+$AZ27+$AZ28+$AZ29+$AZ30+$AZ31+$AZ32+$AZ33+$AZ34+$AZ35+$AZ36+$AZ37+$AZ38+$AZ39+$AZ40+$AZ41+$AZ42+$AZ43+$AZ44+$AZ45+$AZ46+$AZ47+$AZ48+$AZ49+$AZ50</f>
        <v>6098059.818588878</v>
      </c>
      <c r="BC25" s="18"/>
      <c r="BD25" s="34">
        <v>0.1152</v>
      </c>
      <c r="BE25" s="34">
        <v>5.4199999999999998E-2</v>
      </c>
      <c r="BF25">
        <v>2.3E-2</v>
      </c>
      <c r="BG25" s="47">
        <f>$AR25*$BD25</f>
        <v>406708.49484820134</v>
      </c>
      <c r="BH25" s="27">
        <f>$AR25*$BE25</f>
        <v>191350.69809698363</v>
      </c>
      <c r="BI25" s="27">
        <f>$AR25*$BF25</f>
        <v>81200.480742262429</v>
      </c>
      <c r="BJ25" s="47">
        <f>$AW25*$BD25</f>
        <v>554602.4929748202</v>
      </c>
      <c r="BK25" s="27">
        <f>$AW25*$BE25</f>
        <v>260932.77013225044</v>
      </c>
      <c r="BL25" s="27">
        <f>$AW25*$BF25</f>
        <v>110727.92828490333</v>
      </c>
      <c r="BM25" s="47">
        <f>$BB25*$BD25</f>
        <v>702496.49110143876</v>
      </c>
      <c r="BN25" s="27">
        <f>$BB25*$BE25</f>
        <v>330514.84216751717</v>
      </c>
      <c r="BO25" s="27">
        <f>$BB25*$BF25</f>
        <v>140255.37582754419</v>
      </c>
      <c r="BP25" s="117"/>
      <c r="BQ25" s="34">
        <f xml:space="preserve"> 1 - BD25</f>
        <v>0.88480000000000003</v>
      </c>
      <c r="BR25" s="34">
        <f xml:space="preserve"> 1 - BE25</f>
        <v>0.94579999999999997</v>
      </c>
      <c r="BS25">
        <f xml:space="preserve"> 1 - BF25</f>
        <v>0.97699999999999998</v>
      </c>
      <c r="BT25" s="47">
        <f xml:space="preserve"> AR25 * BQ25</f>
        <v>3123747.1895979913</v>
      </c>
      <c r="BU25" s="27">
        <f xml:space="preserve"> AR25 * BR25</f>
        <v>3339104.9863492087</v>
      </c>
      <c r="BV25" s="27">
        <f xml:space="preserve"> AR25 * BS25</f>
        <v>3449255.2037039297</v>
      </c>
      <c r="BW25" s="47">
        <f xml:space="preserve"> AW25 * BQ25</f>
        <v>4259655.2585427165</v>
      </c>
      <c r="BX25" s="27">
        <f xml:space="preserve"> AW25 * BR25</f>
        <v>4553324.981385286</v>
      </c>
      <c r="BY25" s="27">
        <f xml:space="preserve"> AW25 * BS25</f>
        <v>4703529.8232326331</v>
      </c>
      <c r="BZ25" s="47">
        <f xml:space="preserve"> BB25 * BQ25</f>
        <v>5395563.3274874398</v>
      </c>
      <c r="CA25" s="27">
        <f xml:space="preserve"> BB25 * BR25</f>
        <v>5767544.9764213609</v>
      </c>
      <c r="CB25" s="27">
        <f xml:space="preserve"> BB25 * BS25</f>
        <v>5957804.4427613337</v>
      </c>
      <c r="CC25" s="121"/>
      <c r="CD25">
        <f xml:space="preserve"> 1 - 0.32</f>
        <v>0.67999999999999994</v>
      </c>
      <c r="CE25">
        <f>1-0.68</f>
        <v>0.31999999999999995</v>
      </c>
      <c r="CF25" s="27">
        <f xml:space="preserve"> BT25 * CD25</f>
        <v>2124148.0889266338</v>
      </c>
      <c r="CG25" s="27">
        <f xml:space="preserve"> BT25 * CE25</f>
        <v>999599.10067135701</v>
      </c>
      <c r="CH25" s="27">
        <f xml:space="preserve"> BU25 * CD25</f>
        <v>2270591.3907174617</v>
      </c>
      <c r="CI25" s="27">
        <f xml:space="preserve"> BU25 * CE25</f>
        <v>1068513.5956317466</v>
      </c>
      <c r="CJ25" s="27">
        <f xml:space="preserve"> BV25 * CD25</f>
        <v>2345493.5385186719</v>
      </c>
      <c r="CK25" s="27">
        <f xml:space="preserve"> BV25 * CE25</f>
        <v>1103761.6651852573</v>
      </c>
      <c r="CL25" s="27">
        <f xml:space="preserve"> BW25 * CD25</f>
        <v>2896565.5758090471</v>
      </c>
      <c r="CM25" s="27">
        <f xml:space="preserve"> BW25 * CE25</f>
        <v>1363089.6827336692</v>
      </c>
      <c r="CN25" s="27">
        <f xml:space="preserve"> BX25 * CD25</f>
        <v>3096260.987341994</v>
      </c>
      <c r="CO25" s="27">
        <f xml:space="preserve"> BX25 * CE25</f>
        <v>1457063.9940432913</v>
      </c>
      <c r="CP25" s="27">
        <f xml:space="preserve"> BY25 * CD25</f>
        <v>3198400.2797981901</v>
      </c>
      <c r="CQ25" s="27">
        <f xml:space="preserve"> BY25 * CE25</f>
        <v>1505129.5434344423</v>
      </c>
      <c r="CR25" s="27">
        <f xml:space="preserve"> BZ25 * CD25</f>
        <v>3668983.062691459</v>
      </c>
      <c r="CS25" s="27">
        <f xml:space="preserve"> BZ25 * CE25</f>
        <v>1726580.2647959804</v>
      </c>
      <c r="CT25" s="27">
        <f xml:space="preserve"> CA25 * CD25</f>
        <v>3921930.5839665248</v>
      </c>
      <c r="CU25" s="27">
        <f xml:space="preserve"> CA25 * CE25</f>
        <v>1845614.3924548351</v>
      </c>
      <c r="CV25" s="27">
        <f xml:space="preserve"> CB25 * CD25</f>
        <v>4051307.0210777065</v>
      </c>
      <c r="CW25" s="27">
        <f xml:space="preserve"> CB25 * CE25</f>
        <v>1906497.4216836265</v>
      </c>
      <c r="CX25" s="121"/>
      <c r="CY25">
        <f xml:space="preserve"> 1 - 0.01</f>
        <v>0.99</v>
      </c>
      <c r="CZ25">
        <v>0.73</v>
      </c>
      <c r="DA25" s="27">
        <f xml:space="preserve"> CF25 * CY25</f>
        <v>2102906.6080373675</v>
      </c>
      <c r="DB25" s="27">
        <f xml:space="preserve"> CH25 * CY25</f>
        <v>2247885.4768102872</v>
      </c>
      <c r="DC25" s="27">
        <f xml:space="preserve"> CJ25 * CY25</f>
        <v>2322038.6031334852</v>
      </c>
      <c r="DD25" s="27">
        <f xml:space="preserve"> CL25 * CY25</f>
        <v>2867599.9200509568</v>
      </c>
      <c r="DE25" s="27">
        <f xml:space="preserve"> CN25 * CY25</f>
        <v>3065298.3774685739</v>
      </c>
      <c r="DF25" s="27">
        <f xml:space="preserve"> CP25 * CY25</f>
        <v>3166416.2770002084</v>
      </c>
      <c r="DG25" s="27">
        <f xml:space="preserve"> CR25 * CY25</f>
        <v>3632293.2320645442</v>
      </c>
      <c r="DH25" s="27">
        <f xml:space="preserve"> CT25 * CY25</f>
        <v>3882711.2781268596</v>
      </c>
      <c r="DI25" s="27">
        <f xml:space="preserve"> CV25 * CY25</f>
        <v>4010793.9508669293</v>
      </c>
      <c r="DJ25" s="27">
        <f xml:space="preserve"> CF25 * CZ25</f>
        <v>1550628.1049164427</v>
      </c>
      <c r="DK25" s="27">
        <f xml:space="preserve"> CH25 * CZ25</f>
        <v>1657531.7152237471</v>
      </c>
      <c r="DL25" s="27">
        <f xml:space="preserve"> CJ25 * CZ25</f>
        <v>1712210.2831186305</v>
      </c>
      <c r="DM25" s="27">
        <f xml:space="preserve"> CL25 * CZ25</f>
        <v>2114492.8703406043</v>
      </c>
      <c r="DN25" s="27">
        <f xml:space="preserve"> CN25 * CZ25</f>
        <v>2260270.5207596556</v>
      </c>
      <c r="DO25" s="27">
        <f xml:space="preserve"> CP25 * CZ25</f>
        <v>2334832.2042526789</v>
      </c>
      <c r="DP25" s="27">
        <f xml:space="preserve"> CR25 * CZ25</f>
        <v>2678357.6357647651</v>
      </c>
      <c r="DQ25" s="27">
        <f xml:space="preserve"> CT25 * CZ25</f>
        <v>2863009.326295563</v>
      </c>
      <c r="DR25" s="27">
        <f xml:space="preserve"> CV25 * CZ25</f>
        <v>2957454.1253867256</v>
      </c>
      <c r="DS25" s="121"/>
      <c r="DT25" s="27">
        <f>$BG25+$AV25</f>
        <v>458927.5139070623</v>
      </c>
      <c r="DU25" s="27">
        <f>$BH25+$AV25</f>
        <v>243569.71715584456</v>
      </c>
      <c r="DV25" s="27">
        <f>$BI25+$AV25</f>
        <v>133419.49980112337</v>
      </c>
      <c r="DW25" s="47">
        <f>$BJ25+$AV25</f>
        <v>606821.51203368115</v>
      </c>
      <c r="DX25" s="27">
        <f>$BK25+$AV25</f>
        <v>313151.7891911114</v>
      </c>
      <c r="DY25" s="42">
        <f>$BL25+$AV25</f>
        <v>162946.94734376427</v>
      </c>
      <c r="DZ25" s="54">
        <f>$BA25+$BM25</f>
        <v>768640.58190932928</v>
      </c>
      <c r="EA25" s="42">
        <f>$BA25+$BN25</f>
        <v>396658.93297540769</v>
      </c>
      <c r="EB25" s="42">
        <f>$BA25+$BO25</f>
        <v>206399.46663543471</v>
      </c>
      <c r="EC25" s="121"/>
      <c r="ED25" s="177">
        <f xml:space="preserve"> DJ25 + DT25</f>
        <v>2009555.618823505</v>
      </c>
      <c r="EE25" s="177">
        <f xml:space="preserve"> DK25 + DU25</f>
        <v>1901101.4323795917</v>
      </c>
      <c r="EF25" s="177">
        <f>DL25 + DV25</f>
        <v>1845629.7829197538</v>
      </c>
      <c r="EG25" s="211">
        <f t="shared" ref="EG25:EL25" si="47" xml:space="preserve"> DM25 + DW25</f>
        <v>2721314.3823742857</v>
      </c>
      <c r="EH25" s="177">
        <f t="shared" si="47"/>
        <v>2573422.3099507671</v>
      </c>
      <c r="EI25" s="212">
        <f t="shared" si="47"/>
        <v>2497779.1515964433</v>
      </c>
      <c r="EJ25" s="213">
        <f t="shared" si="47"/>
        <v>3446998.2176740943</v>
      </c>
      <c r="EK25" s="212">
        <f t="shared" si="47"/>
        <v>3259668.2592709707</v>
      </c>
      <c r="EL25" s="219">
        <f t="shared" si="47"/>
        <v>3163853.5920221605</v>
      </c>
      <c r="EM25" s="177">
        <f xml:space="preserve"> DT25 + DA25</f>
        <v>2561834.1219444298</v>
      </c>
      <c r="EN25" s="177">
        <f xml:space="preserve"> DB25 + DU25</f>
        <v>2491455.1939661317</v>
      </c>
      <c r="EO25" s="177">
        <f xml:space="preserve"> DV25 + DC25</f>
        <v>2455458.1029346087</v>
      </c>
      <c r="EP25" s="211">
        <f xml:space="preserve"> DD25 + DW25</f>
        <v>3474421.4320846377</v>
      </c>
      <c r="EQ25" s="177">
        <f xml:space="preserve"> DE25 + DX25</f>
        <v>3378450.1666596853</v>
      </c>
      <c r="ER25" s="212">
        <f xml:space="preserve"> DF25 + DY25</f>
        <v>3329363.2243439727</v>
      </c>
      <c r="ES25" s="213">
        <f xml:space="preserve"> DG25 + DZ25</f>
        <v>4400933.8139738739</v>
      </c>
      <c r="ET25" s="212">
        <f xml:space="preserve"> DH25 +EA25</f>
        <v>4279370.2111022677</v>
      </c>
      <c r="EU25" s="219">
        <f xml:space="preserve"> DI25 + EB25</f>
        <v>4217193.4175023641</v>
      </c>
    </row>
    <row r="26" spans="1:153" x14ac:dyDescent="0.2">
      <c r="A26" s="3" t="s">
        <v>48</v>
      </c>
      <c r="B26">
        <v>2369</v>
      </c>
      <c r="C26">
        <v>1327</v>
      </c>
      <c r="D26">
        <v>0.63</v>
      </c>
      <c r="E26">
        <v>0.32</v>
      </c>
      <c r="F26" s="2">
        <f t="shared" si="24"/>
        <v>758.08</v>
      </c>
      <c r="G26" t="s">
        <v>11</v>
      </c>
      <c r="H26" s="20"/>
      <c r="I26" s="21"/>
      <c r="J26">
        <v>758</v>
      </c>
      <c r="K26" s="34">
        <f t="shared" si="25"/>
        <v>79.976159999999993</v>
      </c>
      <c r="L26" s="34">
        <f t="shared" si="26"/>
        <v>109.05839999999999</v>
      </c>
      <c r="M26" s="34">
        <f t="shared" si="27"/>
        <v>138.14063999999999</v>
      </c>
      <c r="N26">
        <v>0.63</v>
      </c>
      <c r="O26" s="27">
        <f t="shared" si="28"/>
        <v>38191.815446399996</v>
      </c>
      <c r="P26" s="27">
        <f t="shared" si="29"/>
        <v>52079.74833599999</v>
      </c>
      <c r="Q26" s="27">
        <f t="shared" si="30"/>
        <v>65967.681225599998</v>
      </c>
      <c r="R26" s="27"/>
      <c r="S26" s="27"/>
      <c r="T26" s="27"/>
      <c r="U26" s="18"/>
      <c r="V26">
        <v>2.3999999999999998E-3</v>
      </c>
      <c r="W26">
        <v>0.99760000000000004</v>
      </c>
      <c r="X26" s="94">
        <f t="shared" si="31"/>
        <v>91.660357071359982</v>
      </c>
      <c r="Y26" s="94">
        <f t="shared" si="32"/>
        <v>124.99139600639997</v>
      </c>
      <c r="Z26" s="94">
        <f t="shared" si="33"/>
        <v>158.32243494143998</v>
      </c>
      <c r="AA26" s="94">
        <f t="shared" si="34"/>
        <v>38100.15508932864</v>
      </c>
      <c r="AB26" s="94">
        <f t="shared" si="35"/>
        <v>51954.756939993589</v>
      </c>
      <c r="AC26" s="94">
        <f t="shared" si="36"/>
        <v>65809.35879065856</v>
      </c>
      <c r="AJ26" s="18"/>
      <c r="AK26">
        <v>471</v>
      </c>
      <c r="AL26" s="34">
        <f t="shared" ref="AL26:AL50" si="48">$AK26/8760</f>
        <v>5.3767123287671234E-2</v>
      </c>
      <c r="AM26" s="34">
        <f t="shared" si="37"/>
        <v>0.94623287671232881</v>
      </c>
      <c r="AN26" s="94">
        <f t="shared" si="38"/>
        <v>2048.5357359673276</v>
      </c>
      <c r="AO26" s="94">
        <f t="shared" si="39"/>
        <v>1024.2678679836638</v>
      </c>
      <c r="AP26" s="94">
        <f t="shared" si="40"/>
        <v>37075.887221344972</v>
      </c>
      <c r="AQ26" s="27"/>
      <c r="AR26" s="27"/>
      <c r="AS26" s="94">
        <f t="shared" si="41"/>
        <v>2793.457821773628</v>
      </c>
      <c r="AT26" s="94">
        <f t="shared" si="42"/>
        <v>1396.728910886814</v>
      </c>
      <c r="AU26" s="27">
        <f t="shared" si="43"/>
        <v>50558.028029106776</v>
      </c>
      <c r="AW26" s="27"/>
      <c r="AX26" s="94">
        <f t="shared" si="44"/>
        <v>3538.3799075799293</v>
      </c>
      <c r="AY26" s="94">
        <f t="shared" si="45"/>
        <v>1769.1899537899646</v>
      </c>
      <c r="AZ26" s="27">
        <f t="shared" si="46"/>
        <v>64040.168836868601</v>
      </c>
      <c r="BA26" s="27"/>
      <c r="BB26" s="27"/>
      <c r="BC26" s="18"/>
      <c r="BP26" s="117"/>
      <c r="CC26" s="121"/>
      <c r="CF26" s="27"/>
      <c r="CG26" s="27"/>
      <c r="CH26" s="27"/>
      <c r="CI26" s="27"/>
      <c r="CJ26" s="27"/>
      <c r="CK26" s="27"/>
      <c r="CL26" s="27"/>
      <c r="CM26" s="27"/>
      <c r="CN26" s="27"/>
      <c r="CO26" s="27"/>
      <c r="CP26" s="27"/>
      <c r="CQ26" s="27"/>
      <c r="CR26" s="27"/>
      <c r="CS26" s="27"/>
      <c r="CT26" s="27"/>
      <c r="CU26" s="27"/>
      <c r="CV26" s="27"/>
      <c r="CW26" s="27"/>
      <c r="CX26" s="121"/>
      <c r="DA26" s="27"/>
      <c r="DB26" s="27"/>
      <c r="DC26" s="27"/>
      <c r="DD26" s="27"/>
      <c r="DE26" s="27"/>
      <c r="DF26" s="27"/>
      <c r="DG26" s="27"/>
      <c r="DH26" s="27"/>
      <c r="DI26" s="27"/>
      <c r="DJ26" s="27"/>
      <c r="DK26" s="27"/>
      <c r="DL26" s="27"/>
      <c r="DM26" s="27"/>
      <c r="DN26" s="27"/>
      <c r="DO26" s="27"/>
      <c r="DP26" s="27"/>
      <c r="DQ26" s="27"/>
      <c r="DR26" s="27"/>
      <c r="DS26" s="121"/>
      <c r="DY26" s="38"/>
      <c r="DZ26" s="38"/>
      <c r="EA26" s="38"/>
      <c r="EB26" s="38"/>
      <c r="EC26" s="38"/>
      <c r="ED26" s="212"/>
      <c r="EE26" s="212"/>
      <c r="EF26" s="212"/>
      <c r="EG26" s="212"/>
      <c r="EH26" s="212"/>
      <c r="EI26" s="212"/>
      <c r="EJ26" s="212"/>
      <c r="EK26" s="212"/>
      <c r="EL26" s="212"/>
      <c r="EM26" s="212"/>
      <c r="EN26" s="212"/>
      <c r="EO26" s="212"/>
      <c r="EP26" s="212"/>
      <c r="EQ26" s="212"/>
      <c r="ER26" s="212"/>
      <c r="ES26" s="212"/>
      <c r="ET26" s="212"/>
      <c r="EU26" s="212"/>
      <c r="EV26" s="38"/>
      <c r="EW26" s="38"/>
    </row>
    <row r="27" spans="1:153" x14ac:dyDescent="0.2">
      <c r="A27" s="3" t="s">
        <v>49</v>
      </c>
      <c r="B27">
        <v>1522</v>
      </c>
      <c r="C27">
        <v>1386</v>
      </c>
      <c r="D27">
        <v>1.43</v>
      </c>
      <c r="E27">
        <v>0.42299999999999999</v>
      </c>
      <c r="F27" s="2">
        <f t="shared" si="24"/>
        <v>643.80599999999993</v>
      </c>
      <c r="G27" t="s">
        <v>11</v>
      </c>
      <c r="H27" s="20"/>
      <c r="I27" s="21"/>
      <c r="J27">
        <v>644</v>
      </c>
      <c r="K27" s="34">
        <f t="shared" si="25"/>
        <v>79.976159999999993</v>
      </c>
      <c r="L27" s="34">
        <f t="shared" si="26"/>
        <v>109.05839999999999</v>
      </c>
      <c r="M27" s="34">
        <f t="shared" si="27"/>
        <v>138.14063999999999</v>
      </c>
      <c r="N27">
        <v>1.43</v>
      </c>
      <c r="O27" s="27">
        <f t="shared" si="28"/>
        <v>73651.645267199987</v>
      </c>
      <c r="P27" s="27">
        <f t="shared" si="29"/>
        <v>100434.06172799999</v>
      </c>
      <c r="Q27" s="27">
        <f t="shared" si="30"/>
        <v>127216.47818879999</v>
      </c>
      <c r="R27" s="27"/>
      <c r="S27" s="27"/>
      <c r="T27" s="27"/>
      <c r="U27" s="18"/>
      <c r="V27">
        <v>2.3999999999999998E-3</v>
      </c>
      <c r="W27">
        <v>0.99760000000000004</v>
      </c>
      <c r="X27" s="94">
        <f t="shared" si="31"/>
        <v>176.76394864127997</v>
      </c>
      <c r="Y27" s="94">
        <f t="shared" si="32"/>
        <v>241.04174814719994</v>
      </c>
      <c r="Z27" s="94">
        <f t="shared" si="33"/>
        <v>305.31954765311991</v>
      </c>
      <c r="AA27" s="94">
        <f t="shared" si="34"/>
        <v>73474.881318558706</v>
      </c>
      <c r="AB27" s="94">
        <f t="shared" si="35"/>
        <v>100193.01997985279</v>
      </c>
      <c r="AC27" s="94">
        <f t="shared" si="36"/>
        <v>126911.15864114687</v>
      </c>
      <c r="AJ27" s="18"/>
      <c r="AK27">
        <v>0</v>
      </c>
      <c r="AL27" s="34">
        <f t="shared" si="48"/>
        <v>0</v>
      </c>
      <c r="AM27" s="34">
        <f t="shared" si="37"/>
        <v>1</v>
      </c>
      <c r="AN27" s="94">
        <f t="shared" si="38"/>
        <v>0</v>
      </c>
      <c r="AO27" s="94">
        <f t="shared" si="39"/>
        <v>0</v>
      </c>
      <c r="AP27" s="94">
        <f t="shared" si="40"/>
        <v>73474.881318558706</v>
      </c>
      <c r="AQ27" s="27"/>
      <c r="AR27" s="27"/>
      <c r="AS27" s="94">
        <f t="shared" si="41"/>
        <v>0</v>
      </c>
      <c r="AT27" s="94">
        <f t="shared" si="42"/>
        <v>0</v>
      </c>
      <c r="AU27" s="27">
        <f t="shared" si="43"/>
        <v>100193.01997985279</v>
      </c>
      <c r="AV27" s="27"/>
      <c r="AW27" s="27"/>
      <c r="AX27" s="94">
        <f t="shared" si="44"/>
        <v>0</v>
      </c>
      <c r="AY27" s="94">
        <f t="shared" si="45"/>
        <v>0</v>
      </c>
      <c r="AZ27" s="27">
        <f t="shared" si="46"/>
        <v>126911.15864114687</v>
      </c>
      <c r="BA27" s="27"/>
      <c r="BB27" s="27"/>
      <c r="BC27" s="18"/>
      <c r="BP27" s="117"/>
      <c r="CC27" s="121"/>
      <c r="CF27" s="27"/>
      <c r="CG27" s="27"/>
      <c r="CH27" s="27"/>
      <c r="CI27" s="27"/>
      <c r="CJ27" s="27"/>
      <c r="CK27" s="27"/>
      <c r="CL27" s="27"/>
      <c r="CM27" s="27"/>
      <c r="CN27" s="27"/>
      <c r="CO27" s="27"/>
      <c r="CP27" s="27"/>
      <c r="CQ27" s="27"/>
      <c r="CR27" s="27"/>
      <c r="CS27" s="27"/>
      <c r="CT27" s="27"/>
      <c r="CU27" s="27"/>
      <c r="CV27" s="27"/>
      <c r="CW27" s="27"/>
      <c r="CX27" s="121"/>
      <c r="DA27" s="27"/>
      <c r="DB27" s="27"/>
      <c r="DC27" s="27"/>
      <c r="DD27" s="27"/>
      <c r="DE27" s="27"/>
      <c r="DF27" s="27"/>
      <c r="DG27" s="27"/>
      <c r="DH27" s="27"/>
      <c r="DI27" s="27"/>
      <c r="DJ27" s="27"/>
      <c r="DK27" s="27"/>
      <c r="DL27" s="27"/>
      <c r="DM27" s="27"/>
      <c r="DN27" s="27"/>
      <c r="DO27" s="27"/>
      <c r="DP27" s="27"/>
      <c r="DQ27" s="27"/>
      <c r="DR27" s="27"/>
      <c r="DS27" s="121"/>
      <c r="DY27" s="38"/>
      <c r="DZ27" s="38"/>
      <c r="EA27" s="38"/>
      <c r="EB27" s="38"/>
      <c r="EC27" s="38"/>
      <c r="ED27" s="212"/>
      <c r="EE27" s="212"/>
      <c r="EF27" s="212"/>
      <c r="EG27" s="212"/>
      <c r="EH27" s="212"/>
      <c r="EI27" s="212"/>
      <c r="EJ27" s="212"/>
      <c r="EK27" s="212"/>
      <c r="EL27" s="212"/>
      <c r="EM27" s="212"/>
      <c r="EN27" s="212"/>
      <c r="EO27" s="212"/>
      <c r="EP27" s="212"/>
      <c r="EQ27" s="212"/>
      <c r="ER27" s="212"/>
      <c r="ES27" s="212"/>
      <c r="ET27" s="212"/>
      <c r="EU27" s="212"/>
    </row>
    <row r="28" spans="1:153" x14ac:dyDescent="0.2">
      <c r="A28" s="3" t="s">
        <v>50</v>
      </c>
      <c r="B28">
        <v>1607</v>
      </c>
      <c r="C28">
        <v>1723</v>
      </c>
      <c r="D28">
        <v>0.67</v>
      </c>
      <c r="E28">
        <v>0.66</v>
      </c>
      <c r="F28" s="2">
        <f t="shared" si="24"/>
        <v>1060.6200000000001</v>
      </c>
      <c r="G28" t="s">
        <v>11</v>
      </c>
      <c r="H28" s="20"/>
      <c r="I28" s="21"/>
      <c r="J28">
        <v>1061</v>
      </c>
      <c r="K28" s="34">
        <f t="shared" si="25"/>
        <v>79.976159999999993</v>
      </c>
      <c r="L28" s="34">
        <f t="shared" si="26"/>
        <v>109.05839999999999</v>
      </c>
      <c r="M28" s="34">
        <f t="shared" si="27"/>
        <v>138.14063999999999</v>
      </c>
      <c r="N28">
        <v>0.67</v>
      </c>
      <c r="O28" s="27">
        <f t="shared" si="28"/>
        <v>56852.652859200003</v>
      </c>
      <c r="P28" s="27">
        <f t="shared" si="29"/>
        <v>77526.344807999994</v>
      </c>
      <c r="Q28" s="27">
        <f t="shared" si="30"/>
        <v>98200.036756800007</v>
      </c>
      <c r="R28" s="27"/>
      <c r="S28" s="27"/>
      <c r="T28" s="27"/>
      <c r="U28" s="18"/>
      <c r="V28">
        <v>2.3999999999999998E-3</v>
      </c>
      <c r="W28">
        <v>0.99760000000000004</v>
      </c>
      <c r="X28" s="94">
        <f t="shared" si="31"/>
        <v>136.44636686208</v>
      </c>
      <c r="Y28" s="94">
        <f t="shared" si="32"/>
        <v>186.06322753919997</v>
      </c>
      <c r="Z28" s="94">
        <f t="shared" si="33"/>
        <v>235.68008821632</v>
      </c>
      <c r="AA28" s="94">
        <f t="shared" si="34"/>
        <v>56716.206492337922</v>
      </c>
      <c r="AB28" s="94">
        <f t="shared" si="35"/>
        <v>77340.281580460796</v>
      </c>
      <c r="AC28" s="94">
        <f t="shared" si="36"/>
        <v>97964.356668583685</v>
      </c>
      <c r="AJ28" s="18"/>
      <c r="AK28">
        <v>121</v>
      </c>
      <c r="AL28" s="34">
        <f t="shared" si="48"/>
        <v>1.3812785388127854E-2</v>
      </c>
      <c r="AM28" s="34">
        <f t="shared" si="37"/>
        <v>0.9861872146118722</v>
      </c>
      <c r="AN28" s="94">
        <f t="shared" si="38"/>
        <v>783.40878830740735</v>
      </c>
      <c r="AO28" s="94">
        <f t="shared" si="39"/>
        <v>391.70439415370367</v>
      </c>
      <c r="AP28" s="94">
        <f t="shared" si="40"/>
        <v>56324.502098184224</v>
      </c>
      <c r="AQ28" s="27"/>
      <c r="AR28" s="27"/>
      <c r="AS28" s="94">
        <f t="shared" si="41"/>
        <v>1068.2847113282826</v>
      </c>
      <c r="AT28" s="94">
        <f t="shared" si="42"/>
        <v>534.14235566414129</v>
      </c>
      <c r="AU28" s="27">
        <f t="shared" si="43"/>
        <v>76806.139224796658</v>
      </c>
      <c r="AV28" s="27"/>
      <c r="AW28" s="27"/>
      <c r="AX28" s="94">
        <f t="shared" si="44"/>
        <v>1353.1606343491583</v>
      </c>
      <c r="AY28" s="94">
        <f t="shared" si="45"/>
        <v>676.58031717457914</v>
      </c>
      <c r="AZ28" s="27">
        <f t="shared" si="46"/>
        <v>97287.776351409106</v>
      </c>
      <c r="BA28" s="27"/>
      <c r="BB28" s="27"/>
      <c r="BC28" s="18"/>
      <c r="BP28" s="117"/>
      <c r="CC28" s="121"/>
      <c r="CD28" s="172" t="s">
        <v>289</v>
      </c>
      <c r="CE28" s="172"/>
      <c r="CF28" s="173"/>
      <c r="CG28" s="173"/>
      <c r="CH28" s="173"/>
      <c r="CI28" s="173"/>
      <c r="CJ28" s="173"/>
      <c r="CK28" s="173"/>
      <c r="CL28" s="173"/>
      <c r="CM28" s="173"/>
      <c r="CN28" s="173"/>
      <c r="CO28" s="173"/>
      <c r="CP28" s="173"/>
      <c r="CQ28" s="173"/>
      <c r="CR28" s="173"/>
      <c r="CS28" s="173"/>
      <c r="CT28" s="27"/>
      <c r="CU28" s="27"/>
      <c r="CV28" s="27"/>
      <c r="CW28" s="27"/>
      <c r="CX28" s="121"/>
      <c r="DA28" s="27"/>
      <c r="DB28" s="27"/>
      <c r="DC28" s="27"/>
      <c r="DD28" s="27"/>
      <c r="DE28" s="27"/>
      <c r="DF28" s="27"/>
      <c r="DG28" s="27"/>
      <c r="DH28" s="27"/>
      <c r="DI28" s="27"/>
      <c r="DJ28" s="27"/>
      <c r="DK28" s="27"/>
      <c r="DL28" s="27"/>
      <c r="DM28" s="27"/>
      <c r="DN28" s="27"/>
      <c r="DO28" s="27"/>
      <c r="DP28" s="27"/>
      <c r="DQ28" s="27"/>
      <c r="DR28" s="27"/>
      <c r="DS28" s="121"/>
      <c r="DY28" s="38"/>
      <c r="DZ28" s="38"/>
      <c r="EA28" s="38"/>
      <c r="EB28" s="38"/>
      <c r="EC28" s="38"/>
      <c r="ED28" s="212"/>
      <c r="EE28" s="212"/>
      <c r="EF28" s="212"/>
      <c r="EG28" s="212"/>
      <c r="EH28" s="212"/>
      <c r="EI28" s="212"/>
      <c r="EJ28" s="212"/>
      <c r="EK28" s="212"/>
      <c r="EL28" s="212"/>
      <c r="EM28" s="212"/>
      <c r="EN28" s="212"/>
      <c r="EO28" s="212"/>
      <c r="EP28" s="212"/>
      <c r="EQ28" s="212"/>
      <c r="ER28" s="212"/>
      <c r="ES28" s="212"/>
      <c r="ET28" s="212"/>
      <c r="EU28" s="212"/>
    </row>
    <row r="29" spans="1:153" ht="17" x14ac:dyDescent="0.2">
      <c r="A29" s="3" t="s">
        <v>51</v>
      </c>
      <c r="B29">
        <v>1212</v>
      </c>
      <c r="C29">
        <v>741</v>
      </c>
      <c r="D29">
        <v>6.44</v>
      </c>
      <c r="E29">
        <v>0.95</v>
      </c>
      <c r="F29" s="2">
        <f t="shared" si="24"/>
        <v>1151.3999999999999</v>
      </c>
      <c r="G29" t="s">
        <v>11</v>
      </c>
      <c r="H29" s="20"/>
      <c r="I29" s="21"/>
      <c r="J29">
        <v>1151</v>
      </c>
      <c r="K29" s="34">
        <f t="shared" si="25"/>
        <v>79.976159999999993</v>
      </c>
      <c r="L29" s="34">
        <f t="shared" si="26"/>
        <v>109.05839999999999</v>
      </c>
      <c r="M29" s="34">
        <f t="shared" si="27"/>
        <v>138.14063999999999</v>
      </c>
      <c r="N29">
        <v>6.44</v>
      </c>
      <c r="O29" s="27">
        <f t="shared" si="28"/>
        <v>592818.48743039998</v>
      </c>
      <c r="P29" s="27">
        <f t="shared" si="29"/>
        <v>808388.84649599995</v>
      </c>
      <c r="Q29" s="27">
        <f t="shared" si="30"/>
        <v>1023959.2055616</v>
      </c>
      <c r="R29" s="27"/>
      <c r="S29" s="27"/>
      <c r="T29" s="27"/>
      <c r="U29" s="18"/>
      <c r="V29">
        <v>2.3999999999999998E-3</v>
      </c>
      <c r="W29">
        <v>0.99760000000000004</v>
      </c>
      <c r="X29" s="94">
        <f t="shared" si="31"/>
        <v>1422.7643698329598</v>
      </c>
      <c r="Y29" s="94">
        <f t="shared" si="32"/>
        <v>1940.1332315903996</v>
      </c>
      <c r="Z29" s="94">
        <f t="shared" si="33"/>
        <v>2457.5020933478399</v>
      </c>
      <c r="AA29" s="94">
        <f t="shared" si="34"/>
        <v>591395.72306056705</v>
      </c>
      <c r="AB29" s="94">
        <f t="shared" si="35"/>
        <v>806448.71326440957</v>
      </c>
      <c r="AC29" s="94">
        <f t="shared" si="36"/>
        <v>1021501.7034682522</v>
      </c>
      <c r="AJ29" s="18"/>
      <c r="AK29">
        <v>2</v>
      </c>
      <c r="AL29" s="34">
        <f t="shared" si="48"/>
        <v>2.2831050228310502E-4</v>
      </c>
      <c r="AM29" s="34">
        <f t="shared" si="37"/>
        <v>0.99977168949771689</v>
      </c>
      <c r="AN29" s="94">
        <f t="shared" si="38"/>
        <v>135.02185458003814</v>
      </c>
      <c r="AO29" s="94">
        <f t="shared" si="39"/>
        <v>67.510927290019069</v>
      </c>
      <c r="AP29" s="94">
        <f t="shared" si="40"/>
        <v>591328.21213327709</v>
      </c>
      <c r="AQ29" s="27"/>
      <c r="AR29" s="27"/>
      <c r="AS29" s="94">
        <f t="shared" si="41"/>
        <v>184.12071079096108</v>
      </c>
      <c r="AT29" s="94">
        <f t="shared" si="42"/>
        <v>92.060355395480542</v>
      </c>
      <c r="AU29" s="27">
        <f t="shared" si="43"/>
        <v>806356.65290901402</v>
      </c>
      <c r="AV29" s="27"/>
      <c r="AW29" s="27"/>
      <c r="AX29" s="94">
        <f t="shared" si="44"/>
        <v>233.21956700188406</v>
      </c>
      <c r="AY29" s="94">
        <f t="shared" si="45"/>
        <v>116.60978350094203</v>
      </c>
      <c r="AZ29" s="27">
        <f t="shared" si="46"/>
        <v>1021385.0936847512</v>
      </c>
      <c r="BA29" s="27"/>
      <c r="BB29" s="27"/>
      <c r="BC29" s="18"/>
      <c r="BP29" s="117"/>
      <c r="CC29" s="121"/>
      <c r="CD29" s="171" t="s">
        <v>93</v>
      </c>
      <c r="CF29" s="27"/>
      <c r="CG29" s="27"/>
      <c r="CH29" s="27"/>
      <c r="CI29" s="27"/>
      <c r="CJ29" s="27"/>
      <c r="CK29" s="27"/>
      <c r="CL29" s="27"/>
      <c r="CM29" s="27"/>
      <c r="CN29" s="27"/>
      <c r="CO29" s="27"/>
      <c r="CP29" s="27"/>
      <c r="CQ29" s="27"/>
      <c r="CR29" s="27"/>
      <c r="CS29" s="27"/>
      <c r="CT29" s="27"/>
      <c r="CU29" s="27"/>
      <c r="CV29" s="27"/>
      <c r="CW29" s="27"/>
      <c r="CX29" s="121"/>
      <c r="DA29" s="27"/>
      <c r="DB29" s="27"/>
      <c r="DC29" s="27"/>
      <c r="DD29" s="27"/>
      <c r="DE29" s="27"/>
      <c r="DF29" s="27"/>
      <c r="DG29" s="27"/>
      <c r="DH29" s="27"/>
      <c r="DI29" s="27"/>
      <c r="DJ29" s="27"/>
      <c r="DK29" s="27"/>
      <c r="DL29" s="27"/>
      <c r="DM29" s="27"/>
      <c r="DN29" s="27"/>
      <c r="DO29" s="27"/>
      <c r="DP29" s="27"/>
      <c r="DQ29" s="27"/>
      <c r="DR29" s="27"/>
      <c r="DS29" s="121"/>
      <c r="DY29" s="38"/>
      <c r="DZ29" s="38"/>
      <c r="EA29" s="38"/>
      <c r="EB29" s="38"/>
      <c r="EC29" s="38"/>
      <c r="ED29" s="212"/>
      <c r="EE29" s="212"/>
      <c r="EF29" s="212"/>
      <c r="EG29" s="212"/>
      <c r="EH29" s="212"/>
      <c r="EI29" s="212"/>
      <c r="EJ29" s="212"/>
      <c r="EK29" s="212"/>
      <c r="EL29" s="212"/>
      <c r="EM29" s="212"/>
      <c r="EN29" s="212"/>
      <c r="EO29" s="212"/>
      <c r="EP29" s="212"/>
      <c r="EQ29" s="212"/>
      <c r="ER29" s="212"/>
      <c r="ES29" s="212"/>
      <c r="ET29" s="212"/>
      <c r="EU29" s="212"/>
    </row>
    <row r="30" spans="1:153" x14ac:dyDescent="0.2">
      <c r="A30" s="3" t="s">
        <v>52</v>
      </c>
      <c r="B30">
        <v>1569</v>
      </c>
      <c r="C30">
        <v>87</v>
      </c>
      <c r="D30">
        <v>1.47</v>
      </c>
      <c r="E30">
        <v>0.21</v>
      </c>
      <c r="F30" s="2">
        <f t="shared" si="24"/>
        <v>329.49</v>
      </c>
      <c r="G30" t="s">
        <v>11</v>
      </c>
      <c r="H30" s="20"/>
      <c r="I30" s="21"/>
      <c r="J30">
        <v>329</v>
      </c>
      <c r="K30" s="34">
        <f t="shared" si="25"/>
        <v>79.976159999999993</v>
      </c>
      <c r="L30" s="34">
        <f t="shared" si="26"/>
        <v>109.05839999999999</v>
      </c>
      <c r="M30" s="34">
        <f t="shared" si="27"/>
        <v>138.14063999999999</v>
      </c>
      <c r="N30">
        <v>1.47</v>
      </c>
      <c r="O30" s="27">
        <f t="shared" si="28"/>
        <v>38678.870260799995</v>
      </c>
      <c r="P30" s="27">
        <f t="shared" si="29"/>
        <v>52743.913991999994</v>
      </c>
      <c r="Q30" s="27">
        <f t="shared" si="30"/>
        <v>66808.957723200001</v>
      </c>
      <c r="R30" s="27"/>
      <c r="S30" s="27"/>
      <c r="T30" s="27"/>
      <c r="U30" s="18"/>
      <c r="V30">
        <v>2.3999999999999998E-3</v>
      </c>
      <c r="W30">
        <v>0.99760000000000004</v>
      </c>
      <c r="X30" s="94">
        <f t="shared" si="31"/>
        <v>92.829288625919986</v>
      </c>
      <c r="Y30" s="94">
        <f t="shared" si="32"/>
        <v>126.58539358079997</v>
      </c>
      <c r="Z30" s="94">
        <f t="shared" si="33"/>
        <v>160.34149853567999</v>
      </c>
      <c r="AA30" s="94">
        <f t="shared" si="34"/>
        <v>38586.04097217408</v>
      </c>
      <c r="AB30" s="94">
        <f t="shared" si="35"/>
        <v>52617.328598419197</v>
      </c>
      <c r="AC30" s="94">
        <f t="shared" si="36"/>
        <v>66648.616224664322</v>
      </c>
      <c r="AJ30" s="18"/>
      <c r="AK30">
        <v>0</v>
      </c>
      <c r="AL30" s="34">
        <f t="shared" si="48"/>
        <v>0</v>
      </c>
      <c r="AM30" s="34">
        <f t="shared" si="37"/>
        <v>1</v>
      </c>
      <c r="AN30" s="94">
        <f t="shared" si="38"/>
        <v>0</v>
      </c>
      <c r="AO30" s="94">
        <f t="shared" si="39"/>
        <v>0</v>
      </c>
      <c r="AP30" s="94">
        <f t="shared" si="40"/>
        <v>38586.04097217408</v>
      </c>
      <c r="AQ30" s="27"/>
      <c r="AR30" s="27"/>
      <c r="AS30" s="94">
        <f t="shared" si="41"/>
        <v>0</v>
      </c>
      <c r="AT30" s="94">
        <f t="shared" si="42"/>
        <v>0</v>
      </c>
      <c r="AU30" s="27">
        <f t="shared" si="43"/>
        <v>52617.328598419197</v>
      </c>
      <c r="AV30" s="27"/>
      <c r="AW30" s="27"/>
      <c r="AX30" s="94">
        <f t="shared" si="44"/>
        <v>0</v>
      </c>
      <c r="AY30" s="94">
        <f t="shared" si="45"/>
        <v>0</v>
      </c>
      <c r="AZ30" s="27">
        <f t="shared" si="46"/>
        <v>66648.616224664322</v>
      </c>
      <c r="BA30" s="27"/>
      <c r="BB30" s="27"/>
      <c r="BC30" s="18"/>
      <c r="BP30" s="117"/>
      <c r="CC30" s="121"/>
      <c r="CF30" s="27"/>
      <c r="CG30" s="27"/>
      <c r="CH30" s="27"/>
      <c r="CI30" s="27"/>
      <c r="CJ30" s="27"/>
      <c r="CK30" s="27"/>
      <c r="CL30" s="27"/>
      <c r="CM30" s="27"/>
      <c r="CN30" s="27"/>
      <c r="CO30" s="27"/>
      <c r="CP30" s="27"/>
      <c r="CQ30" s="27"/>
      <c r="CR30" s="27"/>
      <c r="CS30" s="27"/>
      <c r="CT30" s="27"/>
      <c r="CU30" s="27"/>
      <c r="CV30" s="27"/>
      <c r="CW30" s="27"/>
      <c r="CX30" s="121"/>
      <c r="DA30" s="27"/>
      <c r="DB30" s="27"/>
      <c r="DC30" s="27"/>
      <c r="DD30" s="27"/>
      <c r="DE30" s="27"/>
      <c r="DF30" s="27"/>
      <c r="DG30" s="27"/>
      <c r="DH30" s="27"/>
      <c r="DI30" s="27"/>
      <c r="DJ30" s="27"/>
      <c r="DK30" s="27"/>
      <c r="DL30" s="27"/>
      <c r="DM30" s="27"/>
      <c r="DN30" s="27"/>
      <c r="DO30" s="27"/>
      <c r="DP30" s="27"/>
      <c r="DQ30" s="27"/>
      <c r="DR30" s="27"/>
      <c r="DS30" s="121"/>
      <c r="DY30" s="38"/>
      <c r="DZ30" s="38"/>
      <c r="EA30" s="38"/>
      <c r="EB30" s="38"/>
      <c r="EC30" s="38"/>
      <c r="ED30" s="212"/>
      <c r="EE30" s="212"/>
      <c r="EF30" s="212"/>
      <c r="EG30" s="212"/>
      <c r="EH30" s="212"/>
      <c r="EI30" s="212"/>
      <c r="EJ30" s="212"/>
      <c r="EK30" s="212"/>
      <c r="EL30" s="212"/>
      <c r="EM30" s="212"/>
      <c r="EN30" s="212"/>
      <c r="EO30" s="212"/>
      <c r="EP30" s="212"/>
      <c r="EQ30" s="212"/>
      <c r="ER30" s="212"/>
      <c r="ES30" s="212"/>
      <c r="ET30" s="212"/>
      <c r="EU30" s="212"/>
    </row>
    <row r="31" spans="1:153" x14ac:dyDescent="0.2">
      <c r="A31" s="3" t="s">
        <v>54</v>
      </c>
      <c r="B31">
        <v>1540</v>
      </c>
      <c r="C31">
        <v>570</v>
      </c>
      <c r="D31">
        <v>1.19</v>
      </c>
      <c r="E31">
        <v>0.15</v>
      </c>
      <c r="F31" s="2">
        <f t="shared" si="24"/>
        <v>231</v>
      </c>
      <c r="G31" t="s">
        <v>11</v>
      </c>
      <c r="H31" s="20"/>
      <c r="I31" s="21"/>
      <c r="J31">
        <v>231</v>
      </c>
      <c r="K31" s="34">
        <f t="shared" si="25"/>
        <v>79.976159999999993</v>
      </c>
      <c r="L31" s="34">
        <f t="shared" si="26"/>
        <v>109.05839999999999</v>
      </c>
      <c r="M31" s="34">
        <f t="shared" si="27"/>
        <v>138.14063999999999</v>
      </c>
      <c r="N31">
        <v>1.19</v>
      </c>
      <c r="O31" s="27">
        <f t="shared" si="28"/>
        <v>21984.6466224</v>
      </c>
      <c r="P31" s="27">
        <f t="shared" si="29"/>
        <v>29979.063575999997</v>
      </c>
      <c r="Q31" s="27">
        <f t="shared" si="30"/>
        <v>37973.480529599998</v>
      </c>
      <c r="R31" s="27"/>
      <c r="S31" s="27"/>
      <c r="T31" s="27"/>
      <c r="U31" s="18"/>
      <c r="V31">
        <v>2.3999999999999998E-3</v>
      </c>
      <c r="W31">
        <v>0.99760000000000004</v>
      </c>
      <c r="X31" s="94">
        <f t="shared" si="31"/>
        <v>52.763151893759996</v>
      </c>
      <c r="Y31" s="94">
        <f t="shared" si="32"/>
        <v>71.949752582399981</v>
      </c>
      <c r="Z31" s="94">
        <f t="shared" si="33"/>
        <v>91.13635327103998</v>
      </c>
      <c r="AA31" s="94">
        <f t="shared" si="34"/>
        <v>21931.88347050624</v>
      </c>
      <c r="AB31" s="94">
        <f t="shared" si="35"/>
        <v>29907.1138234176</v>
      </c>
      <c r="AC31" s="94">
        <f t="shared" si="36"/>
        <v>37882.344176328959</v>
      </c>
      <c r="AJ31" s="18"/>
      <c r="AK31">
        <v>19</v>
      </c>
      <c r="AL31" s="34">
        <f t="shared" si="48"/>
        <v>2.1689497716894978E-3</v>
      </c>
      <c r="AM31" s="34">
        <f t="shared" si="37"/>
        <v>0.99783105022831053</v>
      </c>
      <c r="AN31" s="94">
        <f t="shared" si="38"/>
        <v>47.569153646075179</v>
      </c>
      <c r="AO31" s="94">
        <f t="shared" si="39"/>
        <v>23.78457682303759</v>
      </c>
      <c r="AP31" s="94">
        <f t="shared" si="40"/>
        <v>21908.098893683204</v>
      </c>
      <c r="AQ31" s="27"/>
      <c r="AR31" s="27"/>
      <c r="AS31" s="94">
        <f t="shared" si="41"/>
        <v>64.867027699193429</v>
      </c>
      <c r="AT31" s="94">
        <f t="shared" si="42"/>
        <v>32.433513849596714</v>
      </c>
      <c r="AU31" s="27">
        <f t="shared" si="43"/>
        <v>29874.680309568004</v>
      </c>
      <c r="AV31" s="27"/>
      <c r="AW31" s="27"/>
      <c r="AX31" s="94">
        <f t="shared" si="44"/>
        <v>82.164901752311678</v>
      </c>
      <c r="AY31" s="94">
        <f t="shared" si="45"/>
        <v>41.082450876155839</v>
      </c>
      <c r="AZ31" s="27">
        <f t="shared" si="46"/>
        <v>37841.261725452809</v>
      </c>
      <c r="BA31" s="27"/>
      <c r="BB31" s="27"/>
      <c r="BC31" s="18"/>
      <c r="BP31" s="117"/>
      <c r="CC31" s="121"/>
      <c r="CF31" s="27"/>
      <c r="CG31" s="27"/>
      <c r="CH31" s="27"/>
      <c r="CI31" s="27"/>
      <c r="CJ31" s="27"/>
      <c r="CK31" s="27"/>
      <c r="CL31" s="27"/>
      <c r="CM31" s="27"/>
      <c r="CN31" s="27"/>
      <c r="CO31" s="27"/>
      <c r="CP31" s="27"/>
      <c r="CQ31" s="27"/>
      <c r="CR31" s="27"/>
      <c r="CS31" s="27"/>
      <c r="CT31" s="27"/>
      <c r="CU31" s="27"/>
      <c r="CV31" s="27"/>
      <c r="CW31" s="27"/>
      <c r="CX31" s="121"/>
      <c r="DA31" s="27"/>
      <c r="DB31" s="27"/>
      <c r="DC31" s="27"/>
      <c r="DD31" s="27"/>
      <c r="DE31" s="27"/>
      <c r="DF31" s="27"/>
      <c r="DG31" s="27"/>
      <c r="DH31" s="27"/>
      <c r="DI31" s="27"/>
      <c r="DJ31" s="27"/>
      <c r="DK31" s="27"/>
      <c r="DL31" s="27"/>
      <c r="DM31" s="27"/>
      <c r="DN31" s="27"/>
      <c r="DO31" s="27"/>
      <c r="DP31" s="27"/>
      <c r="DQ31" s="27"/>
      <c r="DR31" s="27"/>
      <c r="DS31" s="121"/>
      <c r="DY31" s="38"/>
      <c r="DZ31" s="38"/>
      <c r="EA31" s="38"/>
      <c r="EB31" s="38"/>
      <c r="EC31" s="38"/>
      <c r="ED31" s="212"/>
      <c r="EE31" s="212"/>
      <c r="EF31" s="212"/>
      <c r="EG31" s="212"/>
      <c r="EH31" s="212"/>
      <c r="EI31" s="212"/>
      <c r="EJ31" s="212"/>
      <c r="EK31" s="212"/>
      <c r="EL31" s="212"/>
      <c r="EM31" s="212"/>
      <c r="EN31" s="212"/>
      <c r="EO31" s="212"/>
      <c r="EP31" s="212"/>
      <c r="EQ31" s="212"/>
      <c r="ER31" s="212"/>
      <c r="ES31" s="212"/>
      <c r="ET31" s="212"/>
      <c r="EU31" s="212"/>
    </row>
    <row r="32" spans="1:153" x14ac:dyDescent="0.2">
      <c r="A32" s="3" t="s">
        <v>55</v>
      </c>
      <c r="B32">
        <v>1512</v>
      </c>
      <c r="C32">
        <v>1053</v>
      </c>
      <c r="D32">
        <v>0.46</v>
      </c>
      <c r="E32">
        <v>0.1</v>
      </c>
      <c r="F32" s="2">
        <f t="shared" si="24"/>
        <v>151.20000000000002</v>
      </c>
      <c r="G32" t="s">
        <v>11</v>
      </c>
      <c r="H32" s="20"/>
      <c r="I32" s="21"/>
      <c r="J32">
        <v>151</v>
      </c>
      <c r="K32" s="34">
        <f t="shared" si="25"/>
        <v>79.976159999999993</v>
      </c>
      <c r="L32" s="34">
        <f t="shared" si="26"/>
        <v>109.05839999999999</v>
      </c>
      <c r="M32" s="34">
        <f t="shared" si="27"/>
        <v>138.14063999999999</v>
      </c>
      <c r="N32">
        <v>0.46</v>
      </c>
      <c r="O32" s="27">
        <f t="shared" si="28"/>
        <v>5555.1440735999995</v>
      </c>
      <c r="P32" s="27">
        <f t="shared" si="29"/>
        <v>7575.1964640000006</v>
      </c>
      <c r="Q32" s="27">
        <f t="shared" si="30"/>
        <v>9595.2488544000007</v>
      </c>
      <c r="R32" s="27"/>
      <c r="S32" s="27"/>
      <c r="T32" s="27"/>
      <c r="U32" s="18"/>
      <c r="V32">
        <v>2.3999999999999998E-3</v>
      </c>
      <c r="W32">
        <v>0.99760000000000004</v>
      </c>
      <c r="X32" s="94">
        <f t="shared" si="31"/>
        <v>13.332345776639997</v>
      </c>
      <c r="Y32" s="94">
        <f t="shared" si="32"/>
        <v>18.180471513600001</v>
      </c>
      <c r="Z32" s="94">
        <f t="shared" si="33"/>
        <v>23.028597250560001</v>
      </c>
      <c r="AA32" s="94">
        <f t="shared" si="34"/>
        <v>5541.8117278233594</v>
      </c>
      <c r="AB32" s="94">
        <f t="shared" si="35"/>
        <v>7557.015992486401</v>
      </c>
      <c r="AC32" s="94">
        <f t="shared" si="36"/>
        <v>9572.2202571494417</v>
      </c>
      <c r="AJ32" s="18"/>
      <c r="AK32">
        <v>11</v>
      </c>
      <c r="AL32" s="34">
        <f t="shared" si="48"/>
        <v>1.2557077625570776E-3</v>
      </c>
      <c r="AM32" s="34">
        <f t="shared" si="37"/>
        <v>0.99874429223744288</v>
      </c>
      <c r="AN32" s="94">
        <f t="shared" si="38"/>
        <v>6.9588960052576434</v>
      </c>
      <c r="AO32" s="94">
        <f t="shared" si="39"/>
        <v>3.4794480026288217</v>
      </c>
      <c r="AP32" s="94">
        <f t="shared" si="40"/>
        <v>5538.33227982073</v>
      </c>
      <c r="AQ32" s="27"/>
      <c r="AR32" s="27"/>
      <c r="AS32" s="94">
        <f t="shared" si="41"/>
        <v>9.4894036435331515</v>
      </c>
      <c r="AT32" s="94">
        <f t="shared" si="42"/>
        <v>4.7447018217665757</v>
      </c>
      <c r="AU32" s="27">
        <f t="shared" si="43"/>
        <v>7552.2712906646339</v>
      </c>
      <c r="AV32" s="27"/>
      <c r="AW32" s="27"/>
      <c r="AX32" s="94">
        <f t="shared" si="44"/>
        <v>12.019911281808659</v>
      </c>
      <c r="AY32" s="94">
        <f t="shared" si="45"/>
        <v>6.0099556409043293</v>
      </c>
      <c r="AZ32" s="27">
        <f t="shared" si="46"/>
        <v>9566.2103015085358</v>
      </c>
      <c r="BA32" s="27"/>
      <c r="BB32" s="27"/>
      <c r="BC32" s="18"/>
      <c r="BP32" s="117"/>
      <c r="CC32" s="121"/>
      <c r="CF32" s="27"/>
      <c r="CG32" s="27"/>
      <c r="CH32" s="27"/>
      <c r="CI32" s="27"/>
      <c r="CJ32" s="27"/>
      <c r="CK32" s="27"/>
      <c r="CL32" s="27"/>
      <c r="CM32" s="27"/>
      <c r="CN32" s="27"/>
      <c r="CO32" s="27"/>
      <c r="CP32" s="27"/>
      <c r="CQ32" s="27"/>
      <c r="CR32" s="27"/>
      <c r="CS32" s="27"/>
      <c r="CT32" s="27"/>
      <c r="CU32" s="27"/>
      <c r="CV32" s="27"/>
      <c r="CW32" s="27"/>
      <c r="CX32" s="121"/>
      <c r="DA32" s="27"/>
      <c r="DB32" s="27"/>
      <c r="DC32" s="27"/>
      <c r="DD32" s="27"/>
      <c r="DE32" s="27"/>
      <c r="DF32" s="27"/>
      <c r="DG32" s="27"/>
      <c r="DH32" s="27"/>
      <c r="DI32" s="27"/>
      <c r="DJ32" s="27"/>
      <c r="DK32" s="27"/>
      <c r="DL32" s="27"/>
      <c r="DM32" s="27"/>
      <c r="DN32" s="27"/>
      <c r="DO32" s="27"/>
      <c r="DP32" s="27"/>
      <c r="DQ32" s="27"/>
      <c r="DR32" s="27"/>
      <c r="DS32" s="121"/>
      <c r="DY32" s="38"/>
      <c r="DZ32" s="38"/>
      <c r="EA32" s="38"/>
      <c r="EB32" s="38"/>
      <c r="EC32" s="38"/>
      <c r="ED32" s="212"/>
      <c r="EE32" s="212"/>
      <c r="EF32" s="212"/>
      <c r="EG32" s="212"/>
      <c r="EH32" s="212"/>
      <c r="EI32" s="212"/>
      <c r="EJ32" s="212"/>
      <c r="EK32" s="212"/>
      <c r="EL32" s="212"/>
      <c r="EM32" s="212"/>
      <c r="EN32" s="212"/>
      <c r="EO32" s="212"/>
      <c r="EP32" s="212"/>
      <c r="EQ32" s="212"/>
      <c r="ER32" s="212"/>
      <c r="ES32" s="212"/>
      <c r="ET32" s="212"/>
      <c r="EU32" s="212"/>
    </row>
    <row r="33" spans="1:151" x14ac:dyDescent="0.2">
      <c r="A33" s="3" t="s">
        <v>56</v>
      </c>
      <c r="B33">
        <v>1568</v>
      </c>
      <c r="C33">
        <v>87</v>
      </c>
      <c r="D33">
        <v>0.66</v>
      </c>
      <c r="E33">
        <v>0.05</v>
      </c>
      <c r="F33" s="2">
        <f t="shared" si="24"/>
        <v>78.400000000000006</v>
      </c>
      <c r="G33" t="s">
        <v>11</v>
      </c>
      <c r="H33" s="20"/>
      <c r="I33" s="21"/>
      <c r="J33">
        <v>78</v>
      </c>
      <c r="K33" s="34">
        <f t="shared" si="25"/>
        <v>79.976159999999993</v>
      </c>
      <c r="L33" s="34">
        <f t="shared" si="26"/>
        <v>109.05839999999999</v>
      </c>
      <c r="M33" s="34">
        <f t="shared" si="27"/>
        <v>138.14063999999999</v>
      </c>
      <c r="N33">
        <v>0.66</v>
      </c>
      <c r="O33" s="27">
        <f t="shared" si="28"/>
        <v>4117.1727167999998</v>
      </c>
      <c r="P33" s="27">
        <f t="shared" si="29"/>
        <v>5614.3264319999998</v>
      </c>
      <c r="Q33" s="27">
        <f t="shared" si="30"/>
        <v>7111.4801471999999</v>
      </c>
      <c r="R33" s="27"/>
      <c r="S33" s="27"/>
      <c r="T33" s="27"/>
      <c r="U33" s="18"/>
      <c r="V33">
        <v>2.3999999999999998E-3</v>
      </c>
      <c r="W33">
        <v>0.99760000000000004</v>
      </c>
      <c r="X33" s="94">
        <f t="shared" si="31"/>
        <v>9.8812145203199986</v>
      </c>
      <c r="Y33" s="94">
        <f t="shared" si="32"/>
        <v>13.474383436799998</v>
      </c>
      <c r="Z33" s="94">
        <f t="shared" si="33"/>
        <v>17.06755235328</v>
      </c>
      <c r="AA33" s="94">
        <f t="shared" si="34"/>
        <v>4107.2915022796797</v>
      </c>
      <c r="AB33" s="94">
        <f t="shared" si="35"/>
        <v>5600.8520485631998</v>
      </c>
      <c r="AC33" s="94">
        <f t="shared" si="36"/>
        <v>7094.4125948467199</v>
      </c>
      <c r="AJ33" s="18"/>
      <c r="AK33">
        <v>112</v>
      </c>
      <c r="AL33" s="34">
        <f t="shared" si="48"/>
        <v>1.2785388127853882E-2</v>
      </c>
      <c r="AM33" s="34">
        <f t="shared" si="37"/>
        <v>0.9872146118721461</v>
      </c>
      <c r="AN33" s="94">
        <f t="shared" si="38"/>
        <v>52.513316010881752</v>
      </c>
      <c r="AO33" s="94">
        <f t="shared" si="39"/>
        <v>26.256658005440876</v>
      </c>
      <c r="AP33" s="94">
        <f t="shared" si="40"/>
        <v>4081.0348442742388</v>
      </c>
      <c r="AQ33" s="27"/>
      <c r="AR33" s="27"/>
      <c r="AS33" s="94">
        <f t="shared" si="41"/>
        <v>71.609067287566035</v>
      </c>
      <c r="AT33" s="94">
        <f t="shared" si="42"/>
        <v>35.804533643783017</v>
      </c>
      <c r="AU33" s="27">
        <f t="shared" si="43"/>
        <v>5565.0475149194162</v>
      </c>
      <c r="AV33" s="27"/>
      <c r="AW33" s="27"/>
      <c r="AX33" s="94">
        <f t="shared" si="44"/>
        <v>90.704818564250303</v>
      </c>
      <c r="AY33" s="94">
        <f t="shared" si="45"/>
        <v>45.352409282125151</v>
      </c>
      <c r="AZ33" s="27">
        <f t="shared" si="46"/>
        <v>7049.0601855645946</v>
      </c>
      <c r="BA33" s="27"/>
      <c r="BB33" s="27"/>
      <c r="BC33" s="18"/>
      <c r="BP33" s="117"/>
      <c r="CC33" s="121"/>
      <c r="CF33" s="27"/>
      <c r="CG33" s="27"/>
      <c r="CH33" s="27"/>
      <c r="CI33" s="27"/>
      <c r="CJ33" s="27"/>
      <c r="CK33" s="27"/>
      <c r="CL33" s="27"/>
      <c r="CM33" s="27"/>
      <c r="CN33" s="27"/>
      <c r="CO33" s="27"/>
      <c r="CP33" s="27"/>
      <c r="CQ33" s="27"/>
      <c r="CR33" s="27"/>
      <c r="CS33" s="27"/>
      <c r="CT33" s="27"/>
      <c r="CU33" s="27"/>
      <c r="CV33" s="27"/>
      <c r="CW33" s="27"/>
      <c r="CX33" s="121"/>
      <c r="DA33" s="27"/>
      <c r="DB33" s="27"/>
      <c r="DC33" s="27"/>
      <c r="DD33" s="27"/>
      <c r="DE33" s="27"/>
      <c r="DF33" s="27"/>
      <c r="DG33" s="27"/>
      <c r="DH33" s="27"/>
      <c r="DI33" s="27"/>
      <c r="DJ33" s="27"/>
      <c r="DK33" s="27"/>
      <c r="DL33" s="27"/>
      <c r="DM33" s="27"/>
      <c r="DN33" s="27"/>
      <c r="DO33" s="27"/>
      <c r="DP33" s="27"/>
      <c r="DQ33" s="27"/>
      <c r="DR33" s="27"/>
      <c r="DS33" s="121"/>
      <c r="DY33" s="38"/>
      <c r="DZ33" s="38"/>
      <c r="EA33" s="38"/>
      <c r="EB33" s="38"/>
      <c r="EC33" s="38"/>
      <c r="ED33" s="212"/>
      <c r="EE33" s="212"/>
      <c r="EF33" s="212"/>
      <c r="EG33" s="212"/>
      <c r="EH33" s="212"/>
      <c r="EI33" s="212"/>
      <c r="EJ33" s="212"/>
      <c r="EK33" s="212"/>
      <c r="EL33" s="212"/>
      <c r="EM33" s="212"/>
      <c r="EN33" s="212"/>
      <c r="EO33" s="212"/>
      <c r="EP33" s="212"/>
      <c r="EQ33" s="212"/>
      <c r="ER33" s="212"/>
      <c r="ES33" s="212"/>
      <c r="ET33" s="212"/>
      <c r="EU33" s="212"/>
    </row>
    <row r="34" spans="1:151" x14ac:dyDescent="0.2">
      <c r="A34" s="3" t="s">
        <v>53</v>
      </c>
      <c r="B34">
        <v>1540</v>
      </c>
      <c r="C34">
        <v>570</v>
      </c>
      <c r="D34">
        <v>1.23</v>
      </c>
      <c r="E34">
        <v>0.12</v>
      </c>
      <c r="F34" s="2">
        <f t="shared" si="24"/>
        <v>184.79999999999998</v>
      </c>
      <c r="G34" t="s">
        <v>11</v>
      </c>
      <c r="H34" s="20"/>
      <c r="I34" s="21"/>
      <c r="J34">
        <v>185</v>
      </c>
      <c r="K34" s="34">
        <f t="shared" si="25"/>
        <v>79.976159999999993</v>
      </c>
      <c r="L34" s="34">
        <f t="shared" si="26"/>
        <v>109.05839999999999</v>
      </c>
      <c r="M34" s="34">
        <f t="shared" si="27"/>
        <v>138.14063999999999</v>
      </c>
      <c r="N34">
        <v>1.23</v>
      </c>
      <c r="O34" s="27">
        <f t="shared" si="28"/>
        <v>18198.575207999998</v>
      </c>
      <c r="P34" s="27">
        <f t="shared" si="29"/>
        <v>24816.23892</v>
      </c>
      <c r="Q34" s="27">
        <f t="shared" si="30"/>
        <v>31433.902631999998</v>
      </c>
      <c r="R34" s="27"/>
      <c r="S34" s="27"/>
      <c r="T34" s="27"/>
      <c r="U34" s="18"/>
      <c r="V34">
        <v>2.3999999999999998E-3</v>
      </c>
      <c r="W34">
        <v>0.99760000000000004</v>
      </c>
      <c r="X34" s="94">
        <f t="shared" si="31"/>
        <v>43.676580499199993</v>
      </c>
      <c r="Y34" s="94">
        <f t="shared" si="32"/>
        <v>59.558973407999993</v>
      </c>
      <c r="Z34" s="94">
        <f t="shared" si="33"/>
        <v>75.441366316799986</v>
      </c>
      <c r="AA34" s="94">
        <f t="shared" si="34"/>
        <v>18154.898627500799</v>
      </c>
      <c r="AB34" s="94">
        <f t="shared" si="35"/>
        <v>24756.679946592001</v>
      </c>
      <c r="AC34" s="94">
        <f t="shared" si="36"/>
        <v>31358.4612656832</v>
      </c>
      <c r="AJ34" s="18"/>
      <c r="AK34">
        <v>24</v>
      </c>
      <c r="AL34" s="34">
        <f t="shared" si="48"/>
        <v>2.7397260273972603E-3</v>
      </c>
      <c r="AM34" s="34">
        <f t="shared" si="37"/>
        <v>0.99726027397260275</v>
      </c>
      <c r="AN34" s="94">
        <f t="shared" si="38"/>
        <v>49.739448294522738</v>
      </c>
      <c r="AO34" s="94">
        <f t="shared" si="39"/>
        <v>24.869724147261369</v>
      </c>
      <c r="AP34" s="94">
        <f t="shared" si="40"/>
        <v>18130.028903353537</v>
      </c>
      <c r="AQ34" s="27"/>
      <c r="AR34" s="27"/>
      <c r="AS34" s="94">
        <f t="shared" si="41"/>
        <v>67.82652040162192</v>
      </c>
      <c r="AT34" s="94">
        <f t="shared" si="42"/>
        <v>33.91326020081096</v>
      </c>
      <c r="AU34" s="27">
        <f t="shared" si="43"/>
        <v>24722.766686391191</v>
      </c>
      <c r="AV34" s="27"/>
      <c r="AW34" s="27"/>
      <c r="AX34" s="94">
        <f t="shared" si="44"/>
        <v>85.913592508721095</v>
      </c>
      <c r="AY34" s="94">
        <f t="shared" si="45"/>
        <v>42.956796254360547</v>
      </c>
      <c r="AZ34" s="27">
        <f t="shared" si="46"/>
        <v>31315.504469428837</v>
      </c>
      <c r="BA34" s="27"/>
      <c r="BB34" s="27"/>
      <c r="BC34" s="18"/>
      <c r="BP34" s="117"/>
      <c r="CC34" s="121"/>
      <c r="CF34" s="27"/>
      <c r="CG34" s="27"/>
      <c r="CH34" s="27"/>
      <c r="CI34" s="27"/>
      <c r="CJ34" s="27"/>
      <c r="CK34" s="27"/>
      <c r="CL34" s="27"/>
      <c r="CM34" s="27"/>
      <c r="CN34" s="27"/>
      <c r="CO34" s="27"/>
      <c r="CP34" s="27"/>
      <c r="CQ34" s="27"/>
      <c r="CR34" s="27"/>
      <c r="CS34" s="27"/>
      <c r="CT34" s="27"/>
      <c r="CU34" s="27"/>
      <c r="CV34" s="27"/>
      <c r="CW34" s="27"/>
      <c r="CX34" s="121"/>
      <c r="DA34" s="27"/>
      <c r="DB34" s="27"/>
      <c r="DC34" s="27"/>
      <c r="DD34" s="27"/>
      <c r="DE34" s="27"/>
      <c r="DF34" s="27"/>
      <c r="DG34" s="27"/>
      <c r="DH34" s="27"/>
      <c r="DI34" s="27"/>
      <c r="DJ34" s="27"/>
      <c r="DK34" s="27"/>
      <c r="DL34" s="27"/>
      <c r="DM34" s="27"/>
      <c r="DN34" s="27"/>
      <c r="DO34" s="27"/>
      <c r="DP34" s="27"/>
      <c r="DQ34" s="27"/>
      <c r="DR34" s="27"/>
      <c r="DS34" s="121"/>
      <c r="DY34" s="38"/>
      <c r="DZ34" s="38"/>
      <c r="EA34" s="38"/>
      <c r="EB34" s="38"/>
      <c r="EC34" s="38"/>
      <c r="ED34" s="212"/>
      <c r="EE34" s="212"/>
      <c r="EF34" s="212"/>
      <c r="EG34" s="212"/>
      <c r="EH34" s="212"/>
      <c r="EI34" s="212"/>
      <c r="EJ34" s="212"/>
      <c r="EK34" s="212"/>
      <c r="EL34" s="212"/>
      <c r="EM34" s="212"/>
      <c r="EN34" s="212"/>
      <c r="EO34" s="212"/>
      <c r="EP34" s="212"/>
      <c r="EQ34" s="212"/>
      <c r="ER34" s="212"/>
      <c r="ES34" s="212"/>
      <c r="ET34" s="212"/>
      <c r="EU34" s="212"/>
    </row>
    <row r="35" spans="1:151" x14ac:dyDescent="0.2">
      <c r="A35" s="3" t="s">
        <v>57</v>
      </c>
      <c r="B35">
        <v>1927</v>
      </c>
      <c r="C35">
        <v>748</v>
      </c>
      <c r="D35">
        <v>1.35</v>
      </c>
      <c r="E35">
        <v>0.2</v>
      </c>
      <c r="F35" s="2">
        <f t="shared" si="24"/>
        <v>385.40000000000003</v>
      </c>
      <c r="G35" t="s">
        <v>11</v>
      </c>
      <c r="H35" s="20"/>
      <c r="I35" s="21"/>
      <c r="J35">
        <v>385</v>
      </c>
      <c r="K35" s="34">
        <f t="shared" si="25"/>
        <v>79.976159999999993</v>
      </c>
      <c r="L35" s="34">
        <f t="shared" si="26"/>
        <v>109.05839999999999</v>
      </c>
      <c r="M35" s="34">
        <f t="shared" si="27"/>
        <v>138.14063999999999</v>
      </c>
      <c r="N35">
        <v>1.35</v>
      </c>
      <c r="O35" s="27">
        <f t="shared" si="28"/>
        <v>41567.60916</v>
      </c>
      <c r="P35" s="27">
        <f t="shared" si="29"/>
        <v>56683.1034</v>
      </c>
      <c r="Q35" s="27">
        <f t="shared" si="30"/>
        <v>71798.597640000007</v>
      </c>
      <c r="R35" s="27"/>
      <c r="S35" s="27"/>
      <c r="T35" s="27"/>
      <c r="U35" s="18"/>
      <c r="V35">
        <v>2.3999999999999998E-3</v>
      </c>
      <c r="W35">
        <v>0.99760000000000004</v>
      </c>
      <c r="X35" s="94">
        <f t="shared" si="31"/>
        <v>99.762261983999991</v>
      </c>
      <c r="Y35" s="94">
        <f t="shared" si="32"/>
        <v>136.03944815999998</v>
      </c>
      <c r="Z35" s="94">
        <f t="shared" si="33"/>
        <v>172.31663433599999</v>
      </c>
      <c r="AA35" s="94">
        <f t="shared" si="34"/>
        <v>41467.846898016003</v>
      </c>
      <c r="AB35" s="94">
        <f t="shared" si="35"/>
        <v>56547.063951840006</v>
      </c>
      <c r="AC35" s="94">
        <f t="shared" si="36"/>
        <v>71626.281005664016</v>
      </c>
      <c r="AJ35" s="18"/>
      <c r="AK35">
        <v>288</v>
      </c>
      <c r="AL35" s="34">
        <f t="shared" si="48"/>
        <v>3.287671232876712E-2</v>
      </c>
      <c r="AM35" s="34">
        <f t="shared" si="37"/>
        <v>0.9671232876712329</v>
      </c>
      <c r="AN35" s="94">
        <f t="shared" si="38"/>
        <v>1363.3264733594301</v>
      </c>
      <c r="AO35" s="94">
        <f t="shared" si="39"/>
        <v>681.66323667971506</v>
      </c>
      <c r="AP35" s="94">
        <f t="shared" si="40"/>
        <v>40786.18366133629</v>
      </c>
      <c r="AQ35" s="27"/>
      <c r="AR35" s="27"/>
      <c r="AS35" s="94">
        <f t="shared" si="41"/>
        <v>1859.081554581041</v>
      </c>
      <c r="AT35" s="94">
        <f t="shared" si="42"/>
        <v>929.54077729052051</v>
      </c>
      <c r="AU35" s="27">
        <f t="shared" si="43"/>
        <v>55617.523174549489</v>
      </c>
      <c r="AV35" s="27"/>
      <c r="AW35" s="27"/>
      <c r="AX35" s="94">
        <f t="shared" si="44"/>
        <v>2354.8366358026524</v>
      </c>
      <c r="AY35" s="94">
        <f t="shared" si="45"/>
        <v>1177.4183179013262</v>
      </c>
      <c r="AZ35" s="27">
        <f t="shared" si="46"/>
        <v>70448.862687762681</v>
      </c>
      <c r="BA35" s="27"/>
      <c r="BB35" s="27"/>
      <c r="BC35" s="18"/>
      <c r="BP35" s="117"/>
      <c r="CC35" s="121"/>
      <c r="CF35" s="27"/>
      <c r="CG35" s="27"/>
      <c r="CH35" s="27"/>
      <c r="CI35" s="27"/>
      <c r="CJ35" s="27"/>
      <c r="CK35" s="27"/>
      <c r="CL35" s="27"/>
      <c r="CM35" s="27"/>
      <c r="CN35" s="27"/>
      <c r="CO35" s="27"/>
      <c r="CP35" s="27"/>
      <c r="CQ35" s="27"/>
      <c r="CR35" s="27"/>
      <c r="CS35" s="27"/>
      <c r="CT35" s="27"/>
      <c r="CU35" s="27"/>
      <c r="CV35" s="27"/>
      <c r="CW35" s="27"/>
      <c r="CX35" s="121"/>
      <c r="DA35" s="27"/>
      <c r="DB35" s="27"/>
      <c r="DC35" s="27"/>
      <c r="DD35" s="27"/>
      <c r="DE35" s="27"/>
      <c r="DF35" s="27"/>
      <c r="DG35" s="27"/>
      <c r="DH35" s="27"/>
      <c r="DI35" s="27"/>
      <c r="DJ35" s="27"/>
      <c r="DK35" s="27"/>
      <c r="DL35" s="27"/>
      <c r="DM35" s="27"/>
      <c r="DN35" s="27"/>
      <c r="DO35" s="27"/>
      <c r="DP35" s="27"/>
      <c r="DQ35" s="27"/>
      <c r="DR35" s="27"/>
      <c r="DS35" s="121"/>
      <c r="DY35" s="38"/>
      <c r="DZ35" s="38"/>
      <c r="EA35" s="38"/>
      <c r="EB35" s="38"/>
      <c r="EC35" s="38"/>
      <c r="ED35" s="212"/>
      <c r="EE35" s="212"/>
      <c r="EF35" s="212"/>
      <c r="EG35" s="212"/>
      <c r="EH35" s="212"/>
      <c r="EI35" s="212"/>
      <c r="EJ35" s="212"/>
      <c r="EK35" s="212"/>
      <c r="EL35" s="212"/>
      <c r="EM35" s="212"/>
      <c r="EN35" s="212"/>
      <c r="EO35" s="212"/>
      <c r="EP35" s="212"/>
      <c r="EQ35" s="212"/>
      <c r="ER35" s="212"/>
      <c r="ES35" s="212"/>
      <c r="ET35" s="212"/>
      <c r="EU35" s="212"/>
    </row>
    <row r="36" spans="1:151" x14ac:dyDescent="0.2">
      <c r="A36" s="3" t="s">
        <v>73</v>
      </c>
      <c r="B36">
        <v>1764</v>
      </c>
      <c r="C36">
        <v>1055</v>
      </c>
      <c r="D36">
        <v>0.98</v>
      </c>
      <c r="E36">
        <v>0.5</v>
      </c>
      <c r="F36" s="2">
        <f t="shared" si="24"/>
        <v>882</v>
      </c>
      <c r="G36" t="s">
        <v>11</v>
      </c>
      <c r="H36" s="20"/>
      <c r="I36" s="21"/>
      <c r="J36">
        <v>882</v>
      </c>
      <c r="K36" s="34">
        <f t="shared" si="25"/>
        <v>79.976159999999993</v>
      </c>
      <c r="L36" s="34">
        <f t="shared" si="26"/>
        <v>109.05839999999999</v>
      </c>
      <c r="M36" s="34">
        <f t="shared" si="27"/>
        <v>138.14063999999999</v>
      </c>
      <c r="N36">
        <v>0.98</v>
      </c>
      <c r="O36" s="27">
        <f t="shared" si="28"/>
        <v>69128.193657600001</v>
      </c>
      <c r="P36" s="27">
        <f t="shared" si="29"/>
        <v>94265.718624000001</v>
      </c>
      <c r="Q36" s="27">
        <f t="shared" si="30"/>
        <v>119403.2435904</v>
      </c>
      <c r="R36" s="27"/>
      <c r="S36" s="27"/>
      <c r="T36" s="27"/>
      <c r="U36" s="18"/>
      <c r="V36">
        <v>2.3999999999999998E-3</v>
      </c>
      <c r="W36">
        <v>0.99760000000000004</v>
      </c>
      <c r="X36" s="94">
        <f t="shared" si="31"/>
        <v>165.90766477823999</v>
      </c>
      <c r="Y36" s="94">
        <f t="shared" si="32"/>
        <v>226.23772469759999</v>
      </c>
      <c r="Z36" s="94">
        <f t="shared" si="33"/>
        <v>286.56778461695995</v>
      </c>
      <c r="AA36" s="94">
        <f t="shared" si="34"/>
        <v>68962.285992821766</v>
      </c>
      <c r="AB36" s="94">
        <f t="shared" si="35"/>
        <v>94039.480899302405</v>
      </c>
      <c r="AC36" s="94">
        <f t="shared" si="36"/>
        <v>119116.67580578304</v>
      </c>
      <c r="AJ36" s="18"/>
      <c r="AK36">
        <v>43</v>
      </c>
      <c r="AL36" s="34">
        <f t="shared" si="48"/>
        <v>4.9086757990867581E-3</v>
      </c>
      <c r="AM36" s="34">
        <f t="shared" ref="AM36:AM50" si="49">1- AL36</f>
        <v>0.99509132420091329</v>
      </c>
      <c r="AN36" s="94">
        <f t="shared" si="38"/>
        <v>338.51350430266393</v>
      </c>
      <c r="AO36" s="94">
        <f t="shared" ref="AO36:AO50" si="50" xml:space="preserve"> AN36 / 2</f>
        <v>169.25675215133197</v>
      </c>
      <c r="AP36" s="94">
        <f t="shared" ref="AP36:AP50" si="51">$AA36*$AM36 + AO36</f>
        <v>68793.029240670425</v>
      </c>
      <c r="AQ36" s="27"/>
      <c r="AR36" s="27"/>
      <c r="AS36" s="94">
        <f t="shared" ref="AS36:AS50" si="52">$AL36*$AB36</f>
        <v>461.60932404908715</v>
      </c>
      <c r="AT36" s="94">
        <f t="shared" ref="AT36:AT50" si="53" xml:space="preserve"> AS36 / 2</f>
        <v>230.80466202454357</v>
      </c>
      <c r="AU36" s="27">
        <f t="shared" ref="AU36:AU50" si="54">$AM36*$AB36 + AT36</f>
        <v>93808.676237277861</v>
      </c>
      <c r="AV36" s="27"/>
      <c r="AW36" s="27"/>
      <c r="AX36" s="94">
        <f t="shared" si="44"/>
        <v>584.70514379551037</v>
      </c>
      <c r="AY36" s="94">
        <f t="shared" ref="AY36:AY50" si="55" xml:space="preserve"> AX36 / 2</f>
        <v>292.35257189775518</v>
      </c>
      <c r="AZ36" s="27">
        <f t="shared" ref="AZ36:AZ50" si="56">$AM36*$AC36 + AY36</f>
        <v>118824.3232338853</v>
      </c>
      <c r="BA36" s="27"/>
      <c r="BB36" s="27"/>
      <c r="BC36" s="18"/>
      <c r="BP36" s="117"/>
      <c r="CC36" s="121"/>
      <c r="CF36" s="27"/>
      <c r="CG36" s="27"/>
      <c r="CH36" s="27"/>
      <c r="CI36" s="27"/>
      <c r="CJ36" s="27"/>
      <c r="CK36" s="27"/>
      <c r="CL36" s="27"/>
      <c r="CM36" s="27"/>
      <c r="CN36" s="27"/>
      <c r="CO36" s="27"/>
      <c r="CP36" s="27"/>
      <c r="CQ36" s="27"/>
      <c r="CR36" s="27"/>
      <c r="CS36" s="27"/>
      <c r="CT36" s="27"/>
      <c r="CU36" s="27"/>
      <c r="CV36" s="27"/>
      <c r="CW36" s="27"/>
      <c r="CX36" s="121"/>
      <c r="DA36" s="27"/>
      <c r="DB36" s="27"/>
      <c r="DC36" s="27"/>
      <c r="DD36" s="27"/>
      <c r="DE36" s="27"/>
      <c r="DF36" s="27"/>
      <c r="DG36" s="27"/>
      <c r="DH36" s="27"/>
      <c r="DI36" s="27"/>
      <c r="DJ36" s="27"/>
      <c r="DK36" s="27"/>
      <c r="DL36" s="27"/>
      <c r="DM36" s="27"/>
      <c r="DN36" s="27"/>
      <c r="DO36" s="27"/>
      <c r="DP36" s="27"/>
      <c r="DQ36" s="27"/>
      <c r="DR36" s="27"/>
      <c r="DS36" s="121"/>
      <c r="DY36" s="38"/>
      <c r="DZ36" s="38"/>
      <c r="EA36" s="38"/>
      <c r="EB36" s="38"/>
      <c r="EC36" s="38"/>
      <c r="ED36" s="212"/>
      <c r="EE36" s="212"/>
      <c r="EF36" s="212"/>
      <c r="EG36" s="212"/>
      <c r="EH36" s="212"/>
      <c r="EI36" s="212"/>
      <c r="EJ36" s="212"/>
      <c r="EK36" s="212"/>
      <c r="EL36" s="212"/>
      <c r="EM36" s="212"/>
      <c r="EN36" s="212"/>
      <c r="EO36" s="212"/>
      <c r="EP36" s="212"/>
      <c r="EQ36" s="212"/>
      <c r="ER36" s="212"/>
      <c r="ES36" s="212"/>
      <c r="ET36" s="212"/>
      <c r="EU36" s="212"/>
    </row>
    <row r="37" spans="1:151" x14ac:dyDescent="0.2">
      <c r="A37" s="3" t="s">
        <v>59</v>
      </c>
      <c r="B37">
        <v>1648</v>
      </c>
      <c r="C37">
        <v>2043</v>
      </c>
      <c r="D37">
        <v>0.85</v>
      </c>
      <c r="F37" s="2">
        <f>B37*D37</f>
        <v>1400.8</v>
      </c>
      <c r="G37" t="s">
        <v>126</v>
      </c>
      <c r="H37" s="20"/>
      <c r="I37" s="21"/>
      <c r="J37">
        <v>1401</v>
      </c>
      <c r="K37" s="34">
        <f t="shared" si="25"/>
        <v>79.976159999999993</v>
      </c>
      <c r="L37" s="34">
        <f t="shared" si="26"/>
        <v>109.05839999999999</v>
      </c>
      <c r="M37" s="34">
        <f t="shared" si="27"/>
        <v>138.14063999999999</v>
      </c>
      <c r="N37">
        <v>0.85</v>
      </c>
      <c r="O37" s="27">
        <f t="shared" si="28"/>
        <v>95239.610135999988</v>
      </c>
      <c r="P37" s="27">
        <f t="shared" si="29"/>
        <v>129872.19563999999</v>
      </c>
      <c r="Q37" s="27">
        <f t="shared" si="30"/>
        <v>164504.78114399998</v>
      </c>
      <c r="R37" s="27"/>
      <c r="S37" s="27"/>
      <c r="T37" s="27"/>
      <c r="U37" s="18"/>
      <c r="V37">
        <v>2.3999999999999998E-3</v>
      </c>
      <c r="W37">
        <v>0.99760000000000004</v>
      </c>
      <c r="X37" s="94">
        <f t="shared" si="31"/>
        <v>228.57506432639994</v>
      </c>
      <c r="Y37" s="94">
        <f t="shared" si="32"/>
        <v>311.69326953599995</v>
      </c>
      <c r="Z37" s="94">
        <f t="shared" si="33"/>
        <v>394.81147474559992</v>
      </c>
      <c r="AA37" s="94">
        <f t="shared" si="34"/>
        <v>95011.035071673599</v>
      </c>
      <c r="AB37" s="94">
        <f t="shared" si="35"/>
        <v>129560.50237046399</v>
      </c>
      <c r="AC37" s="94">
        <f t="shared" si="36"/>
        <v>164109.96966925438</v>
      </c>
      <c r="AJ37" s="18"/>
      <c r="AK37">
        <v>207</v>
      </c>
      <c r="AL37" s="34">
        <f t="shared" si="48"/>
        <v>2.363013698630137E-2</v>
      </c>
      <c r="AM37" s="34">
        <f t="shared" si="49"/>
        <v>0.97636986301369866</v>
      </c>
      <c r="AN37" s="94">
        <f t="shared" si="38"/>
        <v>2245.123773953931</v>
      </c>
      <c r="AO37" s="94">
        <f t="shared" si="50"/>
        <v>1122.5618869769655</v>
      </c>
      <c r="AP37" s="94">
        <f t="shared" si="51"/>
        <v>93888.473184696646</v>
      </c>
      <c r="AQ37" s="27"/>
      <c r="AR37" s="27"/>
      <c r="AS37" s="94">
        <f t="shared" si="52"/>
        <v>3061.5324190280876</v>
      </c>
      <c r="AT37" s="94">
        <f t="shared" si="53"/>
        <v>1530.7662095140438</v>
      </c>
      <c r="AU37" s="27">
        <f t="shared" si="54"/>
        <v>128029.73616094995</v>
      </c>
      <c r="AV37" s="27"/>
      <c r="AW37" s="27"/>
      <c r="AX37" s="94">
        <f t="shared" si="44"/>
        <v>3877.9410641022441</v>
      </c>
      <c r="AY37" s="94">
        <f t="shared" si="55"/>
        <v>1938.9705320511221</v>
      </c>
      <c r="AZ37" s="27">
        <f t="shared" si="56"/>
        <v>162170.99913720327</v>
      </c>
      <c r="BA37" s="27"/>
      <c r="BB37" s="27"/>
      <c r="BC37" s="18"/>
      <c r="BP37" s="117"/>
      <c r="CC37" s="121"/>
      <c r="CF37" s="27"/>
      <c r="CG37" s="27"/>
      <c r="CH37" s="27"/>
      <c r="CI37" s="27"/>
      <c r="CJ37" s="27"/>
      <c r="CK37" s="27"/>
      <c r="CL37" s="27"/>
      <c r="CM37" s="27"/>
      <c r="CN37" s="27"/>
      <c r="CO37" s="27"/>
      <c r="CP37" s="27"/>
      <c r="CQ37" s="27"/>
      <c r="CR37" s="27"/>
      <c r="CS37" s="27"/>
      <c r="CT37" s="27"/>
      <c r="CU37" s="27"/>
      <c r="CV37" s="27"/>
      <c r="CW37" s="27"/>
      <c r="CX37" s="121"/>
      <c r="DA37" s="27"/>
      <c r="DB37" s="27"/>
      <c r="DC37" s="27"/>
      <c r="DD37" s="27"/>
      <c r="DE37" s="27"/>
      <c r="DF37" s="27"/>
      <c r="DG37" s="27"/>
      <c r="DH37" s="27"/>
      <c r="DI37" s="27"/>
      <c r="DJ37" s="27"/>
      <c r="DK37" s="27"/>
      <c r="DL37" s="27"/>
      <c r="DM37" s="27"/>
      <c r="DN37" s="27"/>
      <c r="DO37" s="27"/>
      <c r="DP37" s="27"/>
      <c r="DQ37" s="27"/>
      <c r="DR37" s="27"/>
      <c r="DS37" s="121"/>
      <c r="DY37" s="38"/>
      <c r="DZ37" s="38"/>
      <c r="EA37" s="38"/>
      <c r="EB37" s="38"/>
      <c r="EC37" s="38"/>
      <c r="ED37" s="212"/>
      <c r="EE37" s="212"/>
      <c r="EF37" s="212"/>
      <c r="EG37" s="212"/>
      <c r="EH37" s="212"/>
      <c r="EI37" s="212"/>
      <c r="EJ37" s="212"/>
      <c r="EK37" s="212"/>
      <c r="EL37" s="212"/>
      <c r="EM37" s="212"/>
      <c r="EN37" s="212"/>
      <c r="EO37" s="212"/>
      <c r="EP37" s="212"/>
      <c r="EQ37" s="212"/>
      <c r="ER37" s="212"/>
      <c r="ES37" s="212"/>
      <c r="ET37" s="212"/>
      <c r="EU37" s="212"/>
    </row>
    <row r="38" spans="1:151" x14ac:dyDescent="0.2">
      <c r="A38" s="3" t="s">
        <v>60</v>
      </c>
      <c r="B38">
        <v>1503</v>
      </c>
      <c r="C38">
        <v>3031</v>
      </c>
      <c r="D38">
        <v>0.21</v>
      </c>
      <c r="F38" s="2">
        <f>B38*D38</f>
        <v>315.63</v>
      </c>
      <c r="G38" t="s">
        <v>16</v>
      </c>
      <c r="H38" s="20"/>
      <c r="I38" s="21"/>
      <c r="J38">
        <v>316</v>
      </c>
      <c r="K38" s="34">
        <f t="shared" si="25"/>
        <v>79.976159999999993</v>
      </c>
      <c r="L38" s="34">
        <f t="shared" si="26"/>
        <v>109.05839999999999</v>
      </c>
      <c r="M38" s="34">
        <f t="shared" si="27"/>
        <v>138.14063999999999</v>
      </c>
      <c r="N38">
        <v>0.21</v>
      </c>
      <c r="O38" s="27">
        <f t="shared" si="28"/>
        <v>5307.2179775999994</v>
      </c>
      <c r="P38" s="27">
        <f t="shared" si="29"/>
        <v>7237.1154239999987</v>
      </c>
      <c r="Q38" s="27">
        <f t="shared" si="30"/>
        <v>9167.0128703999981</v>
      </c>
      <c r="R38" s="27"/>
      <c r="S38" s="27"/>
      <c r="T38" s="27"/>
      <c r="U38" s="18"/>
      <c r="V38">
        <v>2.3999999999999998E-3</v>
      </c>
      <c r="W38">
        <v>0.99760000000000004</v>
      </c>
      <c r="X38" s="94">
        <f t="shared" si="31"/>
        <v>12.737323146239998</v>
      </c>
      <c r="Y38" s="94">
        <f t="shared" si="32"/>
        <v>17.369077017599995</v>
      </c>
      <c r="Z38" s="94">
        <f t="shared" si="33"/>
        <v>22.000830888959992</v>
      </c>
      <c r="AA38" s="94">
        <f t="shared" si="34"/>
        <v>5294.4806544537596</v>
      </c>
      <c r="AB38" s="94">
        <f t="shared" si="35"/>
        <v>7219.7463469823988</v>
      </c>
      <c r="AC38" s="94">
        <f t="shared" si="36"/>
        <v>9145.0120395110389</v>
      </c>
      <c r="AJ38" s="18"/>
      <c r="AK38">
        <v>315</v>
      </c>
      <c r="AL38" s="34">
        <f t="shared" si="48"/>
        <v>3.5958904109589039E-2</v>
      </c>
      <c r="AM38" s="34">
        <f t="shared" si="49"/>
        <v>0.96404109589041098</v>
      </c>
      <c r="AN38" s="94">
        <f t="shared" si="38"/>
        <v>190.38372216357695</v>
      </c>
      <c r="AO38" s="94">
        <f t="shared" si="50"/>
        <v>95.191861081788474</v>
      </c>
      <c r="AP38" s="94">
        <f t="shared" si="51"/>
        <v>5199.2887933719712</v>
      </c>
      <c r="AQ38" s="27"/>
      <c r="AR38" s="27"/>
      <c r="AS38" s="94">
        <f t="shared" si="52"/>
        <v>259.61416658669583</v>
      </c>
      <c r="AT38" s="94">
        <f t="shared" si="53"/>
        <v>129.80708329334792</v>
      </c>
      <c r="AU38" s="27">
        <f t="shared" si="54"/>
        <v>7089.9392636890516</v>
      </c>
      <c r="AV38" s="27"/>
      <c r="AW38" s="27"/>
      <c r="AX38" s="94">
        <f t="shared" si="44"/>
        <v>328.84461100981474</v>
      </c>
      <c r="AY38" s="94">
        <f t="shared" si="55"/>
        <v>164.42230550490737</v>
      </c>
      <c r="AZ38" s="27">
        <f t="shared" si="56"/>
        <v>8980.5897340061329</v>
      </c>
      <c r="BA38" s="27"/>
      <c r="BB38" s="27"/>
      <c r="BC38" s="18"/>
      <c r="BP38" s="117"/>
      <c r="CC38" s="121"/>
      <c r="CF38" s="27"/>
      <c r="CG38" s="27"/>
      <c r="CH38" s="27"/>
      <c r="CI38" s="27"/>
      <c r="CJ38" s="27"/>
      <c r="CK38" s="27"/>
      <c r="CL38" s="27"/>
      <c r="CM38" s="27"/>
      <c r="CN38" s="27"/>
      <c r="CO38" s="27"/>
      <c r="CP38" s="27"/>
      <c r="CQ38" s="27"/>
      <c r="CR38" s="27"/>
      <c r="CS38" s="27"/>
      <c r="CT38" s="27"/>
      <c r="CU38" s="27"/>
      <c r="CV38" s="27"/>
      <c r="CW38" s="27"/>
      <c r="CX38" s="121"/>
      <c r="DA38" s="27"/>
      <c r="DB38" s="27"/>
      <c r="DC38" s="27"/>
      <c r="DD38" s="27"/>
      <c r="DE38" s="27"/>
      <c r="DF38" s="27"/>
      <c r="DG38" s="27"/>
      <c r="DH38" s="27"/>
      <c r="DI38" s="27"/>
      <c r="DJ38" s="27"/>
      <c r="DK38" s="27"/>
      <c r="DL38" s="27"/>
      <c r="DM38" s="27"/>
      <c r="DN38" s="27"/>
      <c r="DO38" s="27"/>
      <c r="DP38" s="27"/>
      <c r="DQ38" s="27"/>
      <c r="DR38" s="27"/>
      <c r="DS38" s="121"/>
      <c r="DY38" s="38"/>
      <c r="DZ38" s="38"/>
      <c r="EA38" s="38"/>
      <c r="EB38" s="38"/>
      <c r="EC38" s="38"/>
      <c r="ED38" s="212"/>
      <c r="EE38" s="212"/>
      <c r="EF38" s="212"/>
      <c r="EG38" s="212"/>
      <c r="EH38" s="212"/>
      <c r="EI38" s="212"/>
      <c r="EJ38" s="212"/>
      <c r="EK38" s="212"/>
      <c r="EL38" s="212"/>
      <c r="EM38" s="212"/>
      <c r="EN38" s="212"/>
      <c r="EO38" s="212"/>
      <c r="EP38" s="212"/>
      <c r="EQ38" s="212"/>
      <c r="ER38" s="212"/>
      <c r="ES38" s="212"/>
      <c r="ET38" s="212"/>
      <c r="EU38" s="212"/>
    </row>
    <row r="39" spans="1:151" x14ac:dyDescent="0.2">
      <c r="A39" s="3" t="s">
        <v>61</v>
      </c>
      <c r="B39">
        <v>1913</v>
      </c>
      <c r="C39">
        <v>1266</v>
      </c>
      <c r="D39">
        <v>3.65</v>
      </c>
      <c r="E39">
        <v>1.59</v>
      </c>
      <c r="F39" s="2">
        <f t="shared" ref="F39:F50" si="57">B39*E39</f>
        <v>3041.67</v>
      </c>
      <c r="G39" t="s">
        <v>11</v>
      </c>
      <c r="H39" s="20"/>
      <c r="I39" s="21"/>
      <c r="J39">
        <v>3042</v>
      </c>
      <c r="K39" s="34">
        <f t="shared" si="25"/>
        <v>79.976159999999993</v>
      </c>
      <c r="L39" s="34">
        <f t="shared" si="26"/>
        <v>109.05839999999999</v>
      </c>
      <c r="M39" s="34">
        <f t="shared" si="27"/>
        <v>138.14063999999999</v>
      </c>
      <c r="N39">
        <v>1.59</v>
      </c>
      <c r="O39" s="27">
        <f t="shared" si="28"/>
        <v>386827.09116479999</v>
      </c>
      <c r="P39" s="27">
        <f t="shared" si="29"/>
        <v>527491.487952</v>
      </c>
      <c r="Q39" s="27">
        <f t="shared" si="30"/>
        <v>668155.8847392</v>
      </c>
      <c r="R39" s="27"/>
      <c r="S39" s="27"/>
      <c r="T39" s="27"/>
      <c r="U39" s="18"/>
      <c r="V39">
        <v>2.3999999999999998E-3</v>
      </c>
      <c r="W39">
        <v>0.99760000000000004</v>
      </c>
      <c r="X39" s="94">
        <f t="shared" si="31"/>
        <v>928.38501879551984</v>
      </c>
      <c r="Y39" s="94">
        <f t="shared" si="32"/>
        <v>1265.9795710847998</v>
      </c>
      <c r="Z39" s="94">
        <f t="shared" si="33"/>
        <v>1603.5741233740798</v>
      </c>
      <c r="AA39" s="94">
        <f t="shared" si="34"/>
        <v>385898.70614600449</v>
      </c>
      <c r="AB39" s="94">
        <f t="shared" si="35"/>
        <v>526225.50838091527</v>
      </c>
      <c r="AC39" s="94">
        <f t="shared" si="36"/>
        <v>666552.31061582593</v>
      </c>
      <c r="AJ39" s="18"/>
      <c r="AK39">
        <v>114</v>
      </c>
      <c r="AL39" s="34">
        <f t="shared" si="48"/>
        <v>1.3013698630136987E-2</v>
      </c>
      <c r="AM39" s="34">
        <f t="shared" si="49"/>
        <v>0.98698630136986298</v>
      </c>
      <c r="AN39" s="94">
        <f t="shared" si="38"/>
        <v>5021.9694635438946</v>
      </c>
      <c r="AO39" s="94">
        <f t="shared" si="50"/>
        <v>2510.9847317719473</v>
      </c>
      <c r="AP39" s="94">
        <f t="shared" si="51"/>
        <v>383387.72141423251</v>
      </c>
      <c r="AQ39" s="27"/>
      <c r="AR39" s="27"/>
      <c r="AS39" s="94">
        <f t="shared" si="52"/>
        <v>6848.1401775598561</v>
      </c>
      <c r="AT39" s="94">
        <f t="shared" si="53"/>
        <v>3424.070088779928</v>
      </c>
      <c r="AU39" s="27">
        <f t="shared" si="54"/>
        <v>522801.43829213531</v>
      </c>
      <c r="AV39" s="27"/>
      <c r="AW39" s="27"/>
      <c r="AX39" s="94">
        <f t="shared" si="44"/>
        <v>8674.3108915758166</v>
      </c>
      <c r="AY39" s="94">
        <f t="shared" si="55"/>
        <v>4337.1554457879083</v>
      </c>
      <c r="AZ39" s="27">
        <f t="shared" si="56"/>
        <v>662215.15517003799</v>
      </c>
      <c r="BA39" s="27"/>
      <c r="BB39" s="27"/>
      <c r="BC39" s="18"/>
      <c r="BP39" s="117"/>
      <c r="CC39" s="121"/>
      <c r="CF39" s="27"/>
      <c r="CG39" s="27"/>
      <c r="CH39" s="27"/>
      <c r="CI39" s="27"/>
      <c r="CJ39" s="27"/>
      <c r="CK39" s="27"/>
      <c r="CL39" s="27"/>
      <c r="CM39" s="27"/>
      <c r="CN39" s="27"/>
      <c r="CO39" s="27"/>
      <c r="CP39" s="27"/>
      <c r="CQ39" s="27"/>
      <c r="CR39" s="27"/>
      <c r="CS39" s="27"/>
      <c r="CT39" s="27"/>
      <c r="CU39" s="27"/>
      <c r="CV39" s="27"/>
      <c r="CW39" s="27"/>
      <c r="CX39" s="121"/>
      <c r="DA39" s="27"/>
      <c r="DB39" s="27"/>
      <c r="DC39" s="27"/>
      <c r="DD39" s="27"/>
      <c r="DE39" s="27"/>
      <c r="DF39" s="27"/>
      <c r="DG39" s="27"/>
      <c r="DH39" s="27"/>
      <c r="DI39" s="27"/>
      <c r="DJ39" s="27"/>
      <c r="DK39" s="27"/>
      <c r="DL39" s="27"/>
      <c r="DM39" s="27"/>
      <c r="DN39" s="27"/>
      <c r="DO39" s="27"/>
      <c r="DP39" s="27"/>
      <c r="DQ39" s="27"/>
      <c r="DR39" s="27"/>
      <c r="DS39" s="121"/>
      <c r="DY39" s="38"/>
      <c r="DZ39" s="38"/>
      <c r="EA39" s="38"/>
      <c r="EB39" s="38"/>
      <c r="EC39" s="38"/>
      <c r="ED39" s="212"/>
      <c r="EE39" s="212"/>
      <c r="EF39" s="212"/>
      <c r="EG39" s="212"/>
      <c r="EH39" s="212"/>
      <c r="EI39" s="212"/>
      <c r="EJ39" s="212"/>
      <c r="EK39" s="212"/>
      <c r="EL39" s="212"/>
      <c r="EM39" s="212"/>
      <c r="EN39" s="212"/>
      <c r="EO39" s="212"/>
      <c r="EP39" s="212"/>
      <c r="EQ39" s="212"/>
      <c r="ER39" s="212"/>
      <c r="ES39" s="212"/>
      <c r="ET39" s="212"/>
      <c r="EU39" s="212"/>
    </row>
    <row r="40" spans="1:151" x14ac:dyDescent="0.2">
      <c r="A40" s="3" t="s">
        <v>62</v>
      </c>
      <c r="B40">
        <v>1890</v>
      </c>
      <c r="C40">
        <v>1398</v>
      </c>
      <c r="D40">
        <v>0.62</v>
      </c>
      <c r="E40">
        <v>0.55000000000000004</v>
      </c>
      <c r="F40" s="2">
        <f t="shared" si="57"/>
        <v>1039.5</v>
      </c>
      <c r="G40" t="s">
        <v>11</v>
      </c>
      <c r="H40" s="20"/>
      <c r="I40" s="21"/>
      <c r="J40">
        <v>1040</v>
      </c>
      <c r="K40" s="34">
        <f t="shared" si="25"/>
        <v>79.976159999999993</v>
      </c>
      <c r="L40" s="34">
        <f t="shared" si="26"/>
        <v>109.05839999999999</v>
      </c>
      <c r="M40" s="34">
        <f t="shared" si="27"/>
        <v>138.14063999999999</v>
      </c>
      <c r="N40">
        <v>0.55000000000000004</v>
      </c>
      <c r="O40" s="27">
        <f t="shared" si="28"/>
        <v>45746.363519999999</v>
      </c>
      <c r="P40" s="27">
        <f t="shared" si="29"/>
        <v>62381.404799999997</v>
      </c>
      <c r="Q40" s="27">
        <f t="shared" si="30"/>
        <v>79016.446079999994</v>
      </c>
      <c r="R40" s="27"/>
      <c r="S40" s="27"/>
      <c r="T40" s="27"/>
      <c r="U40" s="18"/>
      <c r="V40">
        <v>2.3999999999999998E-3</v>
      </c>
      <c r="W40">
        <v>0.99760000000000004</v>
      </c>
      <c r="X40" s="94">
        <f t="shared" si="31"/>
        <v>109.79127244799999</v>
      </c>
      <c r="Y40" s="94">
        <f t="shared" si="32"/>
        <v>149.71537151999999</v>
      </c>
      <c r="Z40" s="94">
        <f t="shared" si="33"/>
        <v>189.63947059199998</v>
      </c>
      <c r="AA40" s="94">
        <f t="shared" si="34"/>
        <v>45636.572247552001</v>
      </c>
      <c r="AB40" s="94">
        <f t="shared" si="35"/>
        <v>62231.68942848</v>
      </c>
      <c r="AC40" s="94">
        <f t="shared" si="36"/>
        <v>78826.806609407999</v>
      </c>
      <c r="AJ40" s="18"/>
      <c r="AK40">
        <v>147</v>
      </c>
      <c r="AL40" s="34">
        <f t="shared" si="48"/>
        <v>1.678082191780822E-2</v>
      </c>
      <c r="AM40" s="34">
        <f t="shared" si="49"/>
        <v>0.98321917808219172</v>
      </c>
      <c r="AN40" s="94">
        <f t="shared" si="38"/>
        <v>765.81919182535898</v>
      </c>
      <c r="AO40" s="94">
        <f t="shared" si="50"/>
        <v>382.90959591267949</v>
      </c>
      <c r="AP40" s="94">
        <f t="shared" si="51"/>
        <v>45253.662651639323</v>
      </c>
      <c r="AQ40" s="27"/>
      <c r="AR40" s="27"/>
      <c r="AS40" s="94">
        <f t="shared" si="52"/>
        <v>1044.2988979436714</v>
      </c>
      <c r="AT40" s="94">
        <f t="shared" si="53"/>
        <v>522.14944897183568</v>
      </c>
      <c r="AU40" s="27">
        <f t="shared" si="54"/>
        <v>61709.539979508161</v>
      </c>
      <c r="AV40" s="27"/>
      <c r="AW40" s="27"/>
      <c r="AX40" s="94">
        <f t="shared" si="44"/>
        <v>1322.7786040619835</v>
      </c>
      <c r="AY40" s="94">
        <f t="shared" si="55"/>
        <v>661.38930203099176</v>
      </c>
      <c r="AZ40" s="27">
        <f t="shared" si="56"/>
        <v>78165.417307377007</v>
      </c>
      <c r="BA40" s="27"/>
      <c r="BB40" s="27"/>
      <c r="BC40" s="18"/>
      <c r="BP40" s="117"/>
      <c r="CC40" s="121"/>
      <c r="CF40" s="27"/>
      <c r="CG40" s="27"/>
      <c r="CH40" s="27"/>
      <c r="CI40" s="27"/>
      <c r="CJ40" s="27"/>
      <c r="CK40" s="27"/>
      <c r="CL40" s="27"/>
      <c r="CM40" s="27"/>
      <c r="CN40" s="27"/>
      <c r="CO40" s="27"/>
      <c r="CP40" s="27"/>
      <c r="CQ40" s="27"/>
      <c r="CR40" s="27"/>
      <c r="CS40" s="27"/>
      <c r="CT40" s="27"/>
      <c r="CU40" s="27"/>
      <c r="CV40" s="27"/>
      <c r="CW40" s="27"/>
      <c r="CX40" s="121"/>
      <c r="DA40" s="27"/>
      <c r="DB40" s="27"/>
      <c r="DC40" s="27"/>
      <c r="DD40" s="27"/>
      <c r="DE40" s="27"/>
      <c r="DF40" s="27"/>
      <c r="DG40" s="27"/>
      <c r="DH40" s="27"/>
      <c r="DI40" s="27"/>
      <c r="DJ40" s="27"/>
      <c r="DK40" s="27"/>
      <c r="DL40" s="27"/>
      <c r="DM40" s="27"/>
      <c r="DN40" s="27"/>
      <c r="DO40" s="27"/>
      <c r="DP40" s="27"/>
      <c r="DQ40" s="27"/>
      <c r="DR40" s="27"/>
      <c r="DS40" s="121"/>
      <c r="DY40" s="38"/>
      <c r="DZ40" s="38"/>
      <c r="EA40" s="38"/>
      <c r="EB40" s="38"/>
      <c r="EC40" s="38"/>
      <c r="ED40" s="212"/>
      <c r="EE40" s="212"/>
      <c r="EF40" s="212"/>
      <c r="EG40" s="212"/>
      <c r="EH40" s="212"/>
      <c r="EI40" s="212"/>
      <c r="EJ40" s="212"/>
      <c r="EK40" s="212"/>
      <c r="EL40" s="212"/>
      <c r="EM40" s="212"/>
      <c r="EN40" s="212"/>
      <c r="EO40" s="212"/>
      <c r="EP40" s="212"/>
      <c r="EQ40" s="212"/>
      <c r="ER40" s="212"/>
      <c r="ES40" s="212"/>
      <c r="ET40" s="212"/>
      <c r="EU40" s="212"/>
    </row>
    <row r="41" spans="1:151" x14ac:dyDescent="0.2">
      <c r="A41" s="3" t="s">
        <v>63</v>
      </c>
      <c r="B41">
        <v>1776</v>
      </c>
      <c r="C41">
        <v>1568</v>
      </c>
      <c r="D41">
        <v>2.66</v>
      </c>
      <c r="E41">
        <v>1.78</v>
      </c>
      <c r="F41" s="2">
        <f t="shared" si="57"/>
        <v>3161.28</v>
      </c>
      <c r="G41" t="s">
        <v>11</v>
      </c>
      <c r="H41" s="20"/>
      <c r="I41" s="21"/>
      <c r="J41">
        <v>3161</v>
      </c>
      <c r="K41" s="34">
        <f t="shared" si="25"/>
        <v>79.976159999999993</v>
      </c>
      <c r="L41" s="34">
        <f t="shared" si="26"/>
        <v>109.05839999999999</v>
      </c>
      <c r="M41" s="34">
        <f t="shared" si="27"/>
        <v>138.14063999999999</v>
      </c>
      <c r="N41">
        <v>1.78</v>
      </c>
      <c r="O41" s="27">
        <f t="shared" si="28"/>
        <v>449992.26233279996</v>
      </c>
      <c r="P41" s="27">
        <f t="shared" si="29"/>
        <v>613625.81227200001</v>
      </c>
      <c r="Q41" s="27">
        <f t="shared" si="30"/>
        <v>777259.36221119994</v>
      </c>
      <c r="R41" s="27"/>
      <c r="S41" s="27"/>
      <c r="T41" s="27"/>
      <c r="U41" s="18"/>
      <c r="V41">
        <v>2.3999999999999998E-3</v>
      </c>
      <c r="W41">
        <v>0.99760000000000004</v>
      </c>
      <c r="X41" s="94">
        <f t="shared" si="31"/>
        <v>1079.9814295987198</v>
      </c>
      <c r="Y41" s="94">
        <f t="shared" si="32"/>
        <v>1472.7019494527999</v>
      </c>
      <c r="Z41" s="94">
        <f t="shared" si="33"/>
        <v>1865.4224693068797</v>
      </c>
      <c r="AA41" s="94">
        <f t="shared" si="34"/>
        <v>448912.28090320126</v>
      </c>
      <c r="AB41" s="94">
        <f t="shared" si="35"/>
        <v>612153.11032254726</v>
      </c>
      <c r="AC41" s="94">
        <f t="shared" si="36"/>
        <v>775393.93974189309</v>
      </c>
      <c r="AJ41" s="18"/>
      <c r="AK41">
        <v>8</v>
      </c>
      <c r="AL41" s="34">
        <f t="shared" si="48"/>
        <v>9.1324200913242006E-4</v>
      </c>
      <c r="AM41" s="34">
        <f t="shared" si="49"/>
        <v>0.99908675799086755</v>
      </c>
      <c r="AN41" s="94">
        <f t="shared" si="38"/>
        <v>409.96555333625685</v>
      </c>
      <c r="AO41" s="94">
        <f t="shared" si="50"/>
        <v>204.98277666812842</v>
      </c>
      <c r="AP41" s="94">
        <f t="shared" si="51"/>
        <v>448707.29812653316</v>
      </c>
      <c r="AQ41" s="27"/>
      <c r="AR41" s="27"/>
      <c r="AS41" s="94">
        <f t="shared" si="52"/>
        <v>559.04393636762302</v>
      </c>
      <c r="AT41" s="94">
        <f t="shared" si="53"/>
        <v>279.52196818381151</v>
      </c>
      <c r="AU41" s="27">
        <f t="shared" si="54"/>
        <v>611873.58835436346</v>
      </c>
      <c r="AV41" s="27"/>
      <c r="AW41" s="27"/>
      <c r="AX41" s="94">
        <f t="shared" si="44"/>
        <v>708.12231939898913</v>
      </c>
      <c r="AY41" s="94">
        <f t="shared" si="55"/>
        <v>354.06115969949457</v>
      </c>
      <c r="AZ41" s="27">
        <f t="shared" si="56"/>
        <v>775039.87858219352</v>
      </c>
      <c r="BA41" s="27"/>
      <c r="BB41" s="27"/>
      <c r="BC41" s="18"/>
      <c r="BP41" s="117"/>
      <c r="CC41" s="121"/>
      <c r="CF41" s="27"/>
      <c r="CG41" s="27"/>
      <c r="CH41" s="27"/>
      <c r="CI41" s="27"/>
      <c r="CJ41" s="27"/>
      <c r="CK41" s="27"/>
      <c r="CL41" s="27"/>
      <c r="CM41" s="27"/>
      <c r="CN41" s="27"/>
      <c r="CO41" s="27"/>
      <c r="CP41" s="27"/>
      <c r="CQ41" s="27"/>
      <c r="CR41" s="27"/>
      <c r="CS41" s="27"/>
      <c r="CT41" s="27"/>
      <c r="CU41" s="27"/>
      <c r="CV41" s="27"/>
      <c r="CW41" s="27"/>
      <c r="CX41" s="121"/>
      <c r="DA41" s="27"/>
      <c r="DB41" s="27"/>
      <c r="DC41" s="27"/>
      <c r="DD41" s="27"/>
      <c r="DE41" s="27"/>
      <c r="DF41" s="27"/>
      <c r="DG41" s="27"/>
      <c r="DH41" s="27"/>
      <c r="DI41" s="27"/>
      <c r="DJ41" s="27"/>
      <c r="DK41" s="27"/>
      <c r="DL41" s="27"/>
      <c r="DM41" s="27"/>
      <c r="DN41" s="27"/>
      <c r="DO41" s="27"/>
      <c r="DP41" s="27"/>
      <c r="DQ41" s="27"/>
      <c r="DR41" s="27"/>
      <c r="DS41" s="121"/>
      <c r="DY41" s="38"/>
      <c r="DZ41" s="38"/>
      <c r="EA41" s="38"/>
      <c r="EB41" s="38"/>
      <c r="EC41" s="38"/>
      <c r="ED41" s="212"/>
      <c r="EE41" s="212"/>
      <c r="EF41" s="212"/>
      <c r="EG41" s="212"/>
      <c r="EH41" s="212"/>
      <c r="EI41" s="212"/>
      <c r="EJ41" s="212"/>
      <c r="EK41" s="212"/>
      <c r="EL41" s="212"/>
      <c r="EM41" s="212"/>
      <c r="EN41" s="212"/>
      <c r="EO41" s="212"/>
      <c r="EP41" s="212"/>
      <c r="EQ41" s="212"/>
      <c r="ER41" s="212"/>
      <c r="ES41" s="212"/>
      <c r="ET41" s="212"/>
      <c r="EU41" s="212"/>
    </row>
    <row r="42" spans="1:151" x14ac:dyDescent="0.2">
      <c r="A42" s="3" t="s">
        <v>64</v>
      </c>
      <c r="B42">
        <v>1755</v>
      </c>
      <c r="C42">
        <v>4018</v>
      </c>
      <c r="D42">
        <v>1.21</v>
      </c>
      <c r="E42">
        <v>1</v>
      </c>
      <c r="F42" s="2">
        <f t="shared" si="57"/>
        <v>1755</v>
      </c>
      <c r="G42" t="s">
        <v>11</v>
      </c>
      <c r="H42" s="20"/>
      <c r="I42" s="21"/>
      <c r="J42">
        <v>1755</v>
      </c>
      <c r="K42" s="34">
        <f t="shared" si="25"/>
        <v>79.976159999999993</v>
      </c>
      <c r="L42" s="34">
        <f t="shared" si="26"/>
        <v>109.05839999999999</v>
      </c>
      <c r="M42" s="34">
        <f t="shared" si="27"/>
        <v>138.14063999999999</v>
      </c>
      <c r="N42">
        <v>1</v>
      </c>
      <c r="O42" s="27">
        <f t="shared" si="28"/>
        <v>140358.16079999998</v>
      </c>
      <c r="P42" s="27">
        <f t="shared" si="29"/>
        <v>191397.492</v>
      </c>
      <c r="Q42" s="27">
        <f t="shared" si="30"/>
        <v>242436.82319999998</v>
      </c>
      <c r="R42" s="27"/>
      <c r="S42" s="27"/>
      <c r="T42" s="27"/>
      <c r="U42" s="18"/>
      <c r="V42">
        <v>2.3999999999999998E-3</v>
      </c>
      <c r="W42">
        <v>0.99760000000000004</v>
      </c>
      <c r="X42" s="94">
        <f t="shared" si="31"/>
        <v>336.85958591999992</v>
      </c>
      <c r="Y42" s="94">
        <f t="shared" si="32"/>
        <v>459.35398079999993</v>
      </c>
      <c r="Z42" s="94">
        <f t="shared" si="33"/>
        <v>581.84837567999989</v>
      </c>
      <c r="AA42" s="94">
        <f t="shared" si="34"/>
        <v>140021.30121407998</v>
      </c>
      <c r="AB42" s="94">
        <f t="shared" si="35"/>
        <v>190938.13801920001</v>
      </c>
      <c r="AC42" s="94">
        <f t="shared" si="36"/>
        <v>241854.97482432</v>
      </c>
      <c r="AJ42" s="18"/>
      <c r="AK42">
        <v>158</v>
      </c>
      <c r="AL42" s="34">
        <f t="shared" si="48"/>
        <v>1.8036529680365298E-2</v>
      </c>
      <c r="AM42" s="34">
        <f t="shared" si="49"/>
        <v>0.98196347031963471</v>
      </c>
      <c r="AN42" s="94">
        <f t="shared" si="38"/>
        <v>2525.4983552311232</v>
      </c>
      <c r="AO42" s="94">
        <f t="shared" si="50"/>
        <v>1262.7491776155616</v>
      </c>
      <c r="AP42" s="94">
        <f t="shared" si="51"/>
        <v>138758.55203646442</v>
      </c>
      <c r="AQ42" s="27"/>
      <c r="AR42" s="27"/>
      <c r="AS42" s="94">
        <f t="shared" si="52"/>
        <v>3443.8613934969867</v>
      </c>
      <c r="AT42" s="94">
        <f t="shared" si="53"/>
        <v>1721.9306967484933</v>
      </c>
      <c r="AU42" s="27">
        <f t="shared" si="54"/>
        <v>189216.20732245152</v>
      </c>
      <c r="AV42" s="27"/>
      <c r="AW42" s="27"/>
      <c r="AX42" s="94">
        <f t="shared" si="44"/>
        <v>4362.2244317628492</v>
      </c>
      <c r="AY42" s="94">
        <f t="shared" si="55"/>
        <v>2181.1122158814246</v>
      </c>
      <c r="AZ42" s="27">
        <f t="shared" si="56"/>
        <v>239673.86260843856</v>
      </c>
      <c r="BA42" s="27"/>
      <c r="BB42" s="27"/>
      <c r="BC42" s="18"/>
      <c r="BP42" s="117"/>
      <c r="CC42" s="121"/>
      <c r="CF42" s="27"/>
      <c r="CG42" s="27"/>
      <c r="CH42" s="27"/>
      <c r="CI42" s="27"/>
      <c r="CJ42" s="27"/>
      <c r="CK42" s="27"/>
      <c r="CL42" s="27"/>
      <c r="CM42" s="27"/>
      <c r="CN42" s="27"/>
      <c r="CO42" s="27"/>
      <c r="CP42" s="27"/>
      <c r="CQ42" s="27"/>
      <c r="CR42" s="27"/>
      <c r="CS42" s="27"/>
      <c r="CT42" s="27"/>
      <c r="CU42" s="27"/>
      <c r="CV42" s="27"/>
      <c r="CW42" s="27"/>
      <c r="CX42" s="121"/>
      <c r="DA42" s="27"/>
      <c r="DB42" s="27"/>
      <c r="DC42" s="27"/>
      <c r="DD42" s="27"/>
      <c r="DE42" s="27"/>
      <c r="DF42" s="27"/>
      <c r="DG42" s="27"/>
      <c r="DH42" s="27"/>
      <c r="DI42" s="27"/>
      <c r="DJ42" s="27"/>
      <c r="DK42" s="27"/>
      <c r="DL42" s="27"/>
      <c r="DM42" s="27"/>
      <c r="DN42" s="27"/>
      <c r="DO42" s="27"/>
      <c r="DP42" s="27"/>
      <c r="DQ42" s="27"/>
      <c r="DR42" s="27"/>
      <c r="DS42" s="121"/>
      <c r="DY42" s="38"/>
      <c r="DZ42" s="38"/>
      <c r="EA42" s="38"/>
      <c r="EB42" s="38"/>
      <c r="EC42" s="38"/>
      <c r="ED42" s="212"/>
      <c r="EE42" s="212"/>
      <c r="EF42" s="212"/>
      <c r="EG42" s="212"/>
      <c r="EH42" s="212"/>
      <c r="EI42" s="212"/>
      <c r="EJ42" s="212"/>
      <c r="EK42" s="212"/>
      <c r="EL42" s="212"/>
      <c r="EM42" s="212"/>
      <c r="EN42" s="212"/>
      <c r="EO42" s="212"/>
      <c r="EP42" s="212"/>
      <c r="EQ42" s="212"/>
      <c r="ER42" s="212"/>
      <c r="ES42" s="212"/>
      <c r="ET42" s="212"/>
      <c r="EU42" s="212"/>
    </row>
    <row r="43" spans="1:151" x14ac:dyDescent="0.2">
      <c r="A43" s="3" t="s">
        <v>65</v>
      </c>
      <c r="B43">
        <v>1894</v>
      </c>
      <c r="C43">
        <v>4029</v>
      </c>
      <c r="D43">
        <v>2.13</v>
      </c>
      <c r="E43">
        <v>1.1599999999999999</v>
      </c>
      <c r="F43" s="2">
        <f t="shared" si="57"/>
        <v>2197.04</v>
      </c>
      <c r="G43" t="s">
        <v>11</v>
      </c>
      <c r="H43" s="20"/>
      <c r="I43" s="21"/>
      <c r="J43">
        <v>2197</v>
      </c>
      <c r="K43" s="34">
        <f t="shared" si="25"/>
        <v>79.976159999999993</v>
      </c>
      <c r="L43" s="34">
        <f t="shared" si="26"/>
        <v>109.05839999999999</v>
      </c>
      <c r="M43" s="34">
        <f t="shared" si="27"/>
        <v>138.14063999999999</v>
      </c>
      <c r="N43">
        <v>1.1599999999999999</v>
      </c>
      <c r="O43" s="27">
        <f t="shared" si="28"/>
        <v>203820.84328319997</v>
      </c>
      <c r="P43" s="27">
        <f t="shared" si="29"/>
        <v>277937.51356799994</v>
      </c>
      <c r="Q43" s="27">
        <f t="shared" si="30"/>
        <v>352054.18385279999</v>
      </c>
      <c r="R43" s="27"/>
      <c r="S43" s="27"/>
      <c r="T43" s="27"/>
      <c r="U43" s="18"/>
      <c r="V43">
        <v>2.3999999999999998E-3</v>
      </c>
      <c r="W43">
        <v>0.99760000000000004</v>
      </c>
      <c r="X43" s="94">
        <f t="shared" si="31"/>
        <v>489.17002387967989</v>
      </c>
      <c r="Y43" s="94">
        <f t="shared" si="32"/>
        <v>667.05003256319981</v>
      </c>
      <c r="Z43" s="94">
        <f t="shared" si="33"/>
        <v>844.93004124671995</v>
      </c>
      <c r="AA43" s="94">
        <f t="shared" si="34"/>
        <v>203331.67325932029</v>
      </c>
      <c r="AB43" s="94">
        <f t="shared" si="35"/>
        <v>277270.46353543672</v>
      </c>
      <c r="AC43" s="94">
        <f t="shared" si="36"/>
        <v>351209.2538115533</v>
      </c>
      <c r="AJ43" s="18"/>
      <c r="AK43">
        <v>584</v>
      </c>
      <c r="AL43" s="34">
        <f t="shared" si="48"/>
        <v>6.6666666666666666E-2</v>
      </c>
      <c r="AM43" s="34">
        <f t="shared" si="49"/>
        <v>0.93333333333333335</v>
      </c>
      <c r="AN43" s="94">
        <f t="shared" si="38"/>
        <v>13555.444883954686</v>
      </c>
      <c r="AO43" s="94">
        <f t="shared" si="50"/>
        <v>6777.7224419773429</v>
      </c>
      <c r="AP43" s="94">
        <f t="shared" si="51"/>
        <v>196553.95081734296</v>
      </c>
      <c r="AQ43" s="27"/>
      <c r="AR43" s="27"/>
      <c r="AS43" s="94">
        <f t="shared" si="52"/>
        <v>18484.697569029115</v>
      </c>
      <c r="AT43" s="94">
        <f t="shared" si="53"/>
        <v>9242.3487845145573</v>
      </c>
      <c r="AU43" s="27">
        <f t="shared" si="54"/>
        <v>268028.11475092219</v>
      </c>
      <c r="AV43" s="27"/>
      <c r="AW43" s="27"/>
      <c r="AX43" s="94">
        <f t="shared" si="44"/>
        <v>23413.950254103554</v>
      </c>
      <c r="AY43" s="94">
        <f t="shared" si="55"/>
        <v>11706.975127051777</v>
      </c>
      <c r="AZ43" s="27">
        <f t="shared" si="56"/>
        <v>339502.27868450148</v>
      </c>
      <c r="BA43" s="27"/>
      <c r="BB43" s="27"/>
      <c r="BC43" s="18"/>
      <c r="BP43" s="117"/>
      <c r="CC43" s="121"/>
      <c r="CF43" s="27"/>
      <c r="CG43" s="27"/>
      <c r="CH43" s="27"/>
      <c r="CI43" s="27"/>
      <c r="CJ43" s="27"/>
      <c r="CK43" s="27"/>
      <c r="CL43" s="27"/>
      <c r="CM43" s="27"/>
      <c r="CN43" s="27"/>
      <c r="CO43" s="27"/>
      <c r="CP43" s="27"/>
      <c r="CQ43" s="27"/>
      <c r="CR43" s="27"/>
      <c r="CS43" s="27"/>
      <c r="CT43" s="27"/>
      <c r="CU43" s="27"/>
      <c r="CV43" s="27"/>
      <c r="CW43" s="27"/>
      <c r="CX43" s="121"/>
      <c r="DA43" s="27"/>
      <c r="DB43" s="27"/>
      <c r="DC43" s="27"/>
      <c r="DD43" s="27"/>
      <c r="DE43" s="27"/>
      <c r="DF43" s="27"/>
      <c r="DG43" s="27"/>
      <c r="DH43" s="27"/>
      <c r="DI43" s="27"/>
      <c r="DJ43" s="27"/>
      <c r="DK43" s="27"/>
      <c r="DL43" s="27"/>
      <c r="DM43" s="27"/>
      <c r="DN43" s="27"/>
      <c r="DO43" s="27"/>
      <c r="DP43" s="27"/>
      <c r="DQ43" s="27"/>
      <c r="DR43" s="27"/>
      <c r="DS43" s="121"/>
      <c r="DY43" s="38"/>
      <c r="DZ43" s="38"/>
      <c r="EA43" s="38"/>
      <c r="EB43" s="38"/>
      <c r="EC43" s="38"/>
      <c r="ED43" s="212"/>
      <c r="EE43" s="212"/>
      <c r="EF43" s="212"/>
      <c r="EG43" s="212"/>
      <c r="EH43" s="212"/>
      <c r="EI43" s="212"/>
      <c r="EJ43" s="212"/>
      <c r="EK43" s="212"/>
      <c r="EL43" s="212"/>
      <c r="EM43" s="212"/>
      <c r="EN43" s="212"/>
      <c r="EO43" s="212"/>
      <c r="EP43" s="212"/>
      <c r="EQ43" s="212"/>
      <c r="ER43" s="212"/>
      <c r="ES43" s="212"/>
      <c r="ET43" s="212"/>
      <c r="EU43" s="212"/>
    </row>
    <row r="44" spans="1:151" x14ac:dyDescent="0.2">
      <c r="A44" s="3" t="s">
        <v>66</v>
      </c>
      <c r="B44">
        <v>1656</v>
      </c>
      <c r="C44">
        <v>957</v>
      </c>
      <c r="D44">
        <v>2.15</v>
      </c>
      <c r="E44">
        <v>1</v>
      </c>
      <c r="F44" s="2">
        <f t="shared" si="57"/>
        <v>1656</v>
      </c>
      <c r="G44" t="s">
        <v>11</v>
      </c>
      <c r="H44" s="20"/>
      <c r="I44" s="21"/>
      <c r="J44">
        <v>1656</v>
      </c>
      <c r="K44" s="34">
        <f t="shared" si="25"/>
        <v>79.976159999999993</v>
      </c>
      <c r="L44" s="34">
        <f t="shared" si="26"/>
        <v>109.05839999999999</v>
      </c>
      <c r="M44" s="34">
        <f t="shared" si="27"/>
        <v>138.14063999999999</v>
      </c>
      <c r="N44">
        <v>1</v>
      </c>
      <c r="O44" s="27">
        <f t="shared" si="28"/>
        <v>132440.52095999999</v>
      </c>
      <c r="P44" s="27">
        <f t="shared" si="29"/>
        <v>180600.71039999998</v>
      </c>
      <c r="Q44" s="27">
        <f t="shared" si="30"/>
        <v>228760.89984</v>
      </c>
      <c r="R44" s="27"/>
      <c r="S44" s="27"/>
      <c r="T44" s="27"/>
      <c r="U44" s="18"/>
      <c r="V44">
        <v>2.3999999999999998E-3</v>
      </c>
      <c r="W44">
        <v>0.99760000000000004</v>
      </c>
      <c r="X44" s="94">
        <f t="shared" si="31"/>
        <v>317.85725030399993</v>
      </c>
      <c r="Y44" s="94">
        <f t="shared" si="32"/>
        <v>433.44170495999992</v>
      </c>
      <c r="Z44" s="94">
        <f t="shared" si="33"/>
        <v>549.02615961599997</v>
      </c>
      <c r="AA44" s="94">
        <f t="shared" si="34"/>
        <v>132122.663709696</v>
      </c>
      <c r="AB44" s="94">
        <f t="shared" si="35"/>
        <v>180167.26869503999</v>
      </c>
      <c r="AC44" s="94">
        <f t="shared" si="36"/>
        <v>228211.87368038401</v>
      </c>
      <c r="AJ44" s="18"/>
      <c r="AK44">
        <v>0</v>
      </c>
      <c r="AL44" s="34">
        <f t="shared" si="48"/>
        <v>0</v>
      </c>
      <c r="AM44" s="34">
        <f t="shared" si="49"/>
        <v>1</v>
      </c>
      <c r="AN44" s="94">
        <f t="shared" si="38"/>
        <v>0</v>
      </c>
      <c r="AO44" s="94">
        <f t="shared" si="50"/>
        <v>0</v>
      </c>
      <c r="AP44" s="94">
        <f t="shared" si="51"/>
        <v>132122.663709696</v>
      </c>
      <c r="AQ44" s="27"/>
      <c r="AR44" s="27"/>
      <c r="AS44" s="94">
        <f t="shared" si="52"/>
        <v>0</v>
      </c>
      <c r="AT44" s="94">
        <f t="shared" si="53"/>
        <v>0</v>
      </c>
      <c r="AU44" s="27">
        <f t="shared" si="54"/>
        <v>180167.26869503999</v>
      </c>
      <c r="AV44" s="27"/>
      <c r="AW44" s="27"/>
      <c r="AX44" s="94">
        <f t="shared" si="44"/>
        <v>0</v>
      </c>
      <c r="AY44" s="94">
        <f t="shared" si="55"/>
        <v>0</v>
      </c>
      <c r="AZ44" s="27">
        <f t="shared" si="56"/>
        <v>228211.87368038401</v>
      </c>
      <c r="BA44" s="27"/>
      <c r="BB44" s="27"/>
      <c r="BC44" s="18"/>
      <c r="BP44" s="117"/>
      <c r="CC44" s="121"/>
      <c r="CF44" s="27"/>
      <c r="CG44" s="27"/>
      <c r="CH44" s="27"/>
      <c r="CI44" s="27"/>
      <c r="CJ44" s="27"/>
      <c r="CK44" s="27"/>
      <c r="CL44" s="27"/>
      <c r="CM44" s="27"/>
      <c r="CN44" s="27"/>
      <c r="CO44" s="27"/>
      <c r="CP44" s="27"/>
      <c r="CQ44" s="27"/>
      <c r="CR44" s="27"/>
      <c r="CS44" s="27"/>
      <c r="CT44" s="27"/>
      <c r="CU44" s="27"/>
      <c r="CV44" s="27"/>
      <c r="CW44" s="27"/>
      <c r="CX44" s="121"/>
      <c r="DA44" s="27"/>
      <c r="DB44" s="27"/>
      <c r="DC44" s="27"/>
      <c r="DD44" s="27"/>
      <c r="DE44" s="27"/>
      <c r="DF44" s="27"/>
      <c r="DG44" s="27"/>
      <c r="DH44" s="27"/>
      <c r="DI44" s="27"/>
      <c r="DJ44" s="27"/>
      <c r="DK44" s="27"/>
      <c r="DL44" s="27"/>
      <c r="DM44" s="27"/>
      <c r="DN44" s="27"/>
      <c r="DO44" s="27"/>
      <c r="DP44" s="27"/>
      <c r="DQ44" s="27"/>
      <c r="DR44" s="27"/>
      <c r="DS44" s="121"/>
      <c r="DY44" s="38"/>
      <c r="DZ44" s="38"/>
      <c r="EA44" s="38"/>
      <c r="EB44" s="38"/>
      <c r="EC44" s="38"/>
      <c r="ED44" s="212"/>
      <c r="EE44" s="212"/>
      <c r="EF44" s="212"/>
      <c r="EG44" s="212"/>
      <c r="EH44" s="212"/>
      <c r="EI44" s="212"/>
      <c r="EJ44" s="212"/>
      <c r="EK44" s="212"/>
      <c r="EL44" s="212"/>
      <c r="EM44" s="212"/>
      <c r="EN44" s="212"/>
      <c r="EO44" s="212"/>
      <c r="EP44" s="212"/>
      <c r="EQ44" s="212"/>
      <c r="ER44" s="212"/>
      <c r="ES44" s="212"/>
      <c r="ET44" s="212"/>
      <c r="EU44" s="212"/>
    </row>
    <row r="45" spans="1:151" x14ac:dyDescent="0.2">
      <c r="A45" s="3" t="s">
        <v>67</v>
      </c>
      <c r="B45">
        <v>1299</v>
      </c>
      <c r="C45">
        <v>6774</v>
      </c>
      <c r="D45">
        <v>0.09</v>
      </c>
      <c r="E45">
        <v>0.13</v>
      </c>
      <c r="F45" s="2">
        <f t="shared" si="57"/>
        <v>168.87</v>
      </c>
      <c r="G45" t="s">
        <v>11</v>
      </c>
      <c r="H45" s="20"/>
      <c r="I45" s="21"/>
      <c r="J45">
        <v>169</v>
      </c>
      <c r="K45" s="34">
        <f t="shared" si="25"/>
        <v>79.976159999999993</v>
      </c>
      <c r="L45" s="34">
        <f t="shared" si="26"/>
        <v>109.05839999999999</v>
      </c>
      <c r="M45" s="34">
        <f t="shared" si="27"/>
        <v>138.14063999999999</v>
      </c>
      <c r="N45">
        <v>0.13</v>
      </c>
      <c r="O45" s="27">
        <f t="shared" si="28"/>
        <v>1757.0762351999999</v>
      </c>
      <c r="P45" s="27">
        <f t="shared" si="29"/>
        <v>2396.0130479999998</v>
      </c>
      <c r="Q45" s="27">
        <f t="shared" si="30"/>
        <v>3034.9498607999999</v>
      </c>
      <c r="R45" s="27"/>
      <c r="S45" s="27"/>
      <c r="T45" s="27"/>
      <c r="U45" s="18"/>
      <c r="V45">
        <v>2.3999999999999998E-3</v>
      </c>
      <c r="W45">
        <v>0.99760000000000004</v>
      </c>
      <c r="X45" s="94">
        <f t="shared" si="31"/>
        <v>4.2169829644799997</v>
      </c>
      <c r="Y45" s="94">
        <f t="shared" si="32"/>
        <v>5.7504313151999993</v>
      </c>
      <c r="Z45" s="94">
        <f t="shared" si="33"/>
        <v>7.2838796659199989</v>
      </c>
      <c r="AA45" s="94">
        <f t="shared" si="34"/>
        <v>1752.85925223552</v>
      </c>
      <c r="AB45" s="94">
        <f t="shared" si="35"/>
        <v>2390.2626166847999</v>
      </c>
      <c r="AC45" s="94">
        <f t="shared" si="36"/>
        <v>3027.6659811340801</v>
      </c>
      <c r="AJ45" s="18"/>
      <c r="AK45">
        <v>320</v>
      </c>
      <c r="AL45" s="34">
        <f t="shared" si="48"/>
        <v>3.6529680365296802E-2</v>
      </c>
      <c r="AM45" s="34">
        <f t="shared" si="49"/>
        <v>0.9634703196347032</v>
      </c>
      <c r="AN45" s="94">
        <f t="shared" si="38"/>
        <v>64.031388209516706</v>
      </c>
      <c r="AO45" s="94">
        <f t="shared" si="50"/>
        <v>32.015694104758353</v>
      </c>
      <c r="AP45" s="94">
        <f t="shared" si="51"/>
        <v>1720.8435581307615</v>
      </c>
      <c r="AQ45" s="27"/>
      <c r="AR45" s="27"/>
      <c r="AS45" s="94">
        <f t="shared" si="52"/>
        <v>87.315529376613696</v>
      </c>
      <c r="AT45" s="94">
        <f t="shared" si="53"/>
        <v>43.657764688306848</v>
      </c>
      <c r="AU45" s="27">
        <f t="shared" si="54"/>
        <v>2346.6048519964934</v>
      </c>
      <c r="AV45" s="27"/>
      <c r="AW45" s="27"/>
      <c r="AX45" s="94">
        <f t="shared" si="44"/>
        <v>110.59967054371069</v>
      </c>
      <c r="AY45" s="94">
        <f t="shared" si="55"/>
        <v>55.299835271855343</v>
      </c>
      <c r="AZ45" s="27">
        <f t="shared" si="56"/>
        <v>2972.366145862225</v>
      </c>
      <c r="BA45" s="27"/>
      <c r="BB45" s="27"/>
      <c r="BC45" s="18"/>
      <c r="BP45" s="117"/>
      <c r="CC45" s="121"/>
      <c r="CF45" s="27"/>
      <c r="CG45" s="27"/>
      <c r="CH45" s="27"/>
      <c r="CI45" s="27"/>
      <c r="CJ45" s="27"/>
      <c r="CK45" s="27"/>
      <c r="CL45" s="27"/>
      <c r="CM45" s="27"/>
      <c r="CN45" s="27"/>
      <c r="CO45" s="27"/>
      <c r="CP45" s="27"/>
      <c r="CQ45" s="27"/>
      <c r="CR45" s="27"/>
      <c r="CS45" s="27"/>
      <c r="CT45" s="27"/>
      <c r="CU45" s="27"/>
      <c r="CV45" s="27"/>
      <c r="CW45" s="27"/>
      <c r="CX45" s="121"/>
      <c r="DA45" s="27"/>
      <c r="DB45" s="27"/>
      <c r="DC45" s="27"/>
      <c r="DD45" s="27"/>
      <c r="DE45" s="27"/>
      <c r="DF45" s="27"/>
      <c r="DG45" s="27"/>
      <c r="DH45" s="27"/>
      <c r="DI45" s="27"/>
      <c r="DJ45" s="27"/>
      <c r="DK45" s="27"/>
      <c r="DL45" s="27"/>
      <c r="DM45" s="27"/>
      <c r="DN45" s="27"/>
      <c r="DO45" s="27"/>
      <c r="DP45" s="27"/>
      <c r="DQ45" s="27"/>
      <c r="DR45" s="27"/>
      <c r="DS45" s="121"/>
      <c r="DY45" s="38"/>
      <c r="DZ45" s="38"/>
      <c r="EA45" s="38"/>
      <c r="EB45" s="38"/>
      <c r="EC45" s="38"/>
      <c r="ED45" s="212"/>
      <c r="EE45" s="212"/>
      <c r="EF45" s="212"/>
      <c r="EG45" s="212"/>
      <c r="EH45" s="212"/>
      <c r="EI45" s="212"/>
      <c r="EJ45" s="212"/>
      <c r="EK45" s="212"/>
      <c r="EL45" s="212"/>
      <c r="EM45" s="212"/>
      <c r="EN45" s="212"/>
      <c r="EO45" s="212"/>
      <c r="EP45" s="212"/>
      <c r="EQ45" s="212"/>
      <c r="ER45" s="212"/>
      <c r="ES45" s="212"/>
      <c r="ET45" s="212"/>
      <c r="EU45" s="212"/>
    </row>
    <row r="46" spans="1:151" x14ac:dyDescent="0.2">
      <c r="A46" s="3" t="s">
        <v>68</v>
      </c>
      <c r="B46">
        <v>1300</v>
      </c>
      <c r="C46">
        <v>6063</v>
      </c>
      <c r="D46">
        <v>0.17</v>
      </c>
      <c r="E46">
        <v>0.18</v>
      </c>
      <c r="F46" s="2">
        <f t="shared" si="57"/>
        <v>234</v>
      </c>
      <c r="G46" t="s">
        <v>11</v>
      </c>
      <c r="H46" s="20"/>
      <c r="I46" s="21"/>
      <c r="J46">
        <v>234</v>
      </c>
      <c r="K46" s="34">
        <f t="shared" si="25"/>
        <v>79.976159999999993</v>
      </c>
      <c r="L46" s="34">
        <f t="shared" si="26"/>
        <v>109.05839999999999</v>
      </c>
      <c r="M46" s="34">
        <f t="shared" si="27"/>
        <v>138.14063999999999</v>
      </c>
      <c r="N46">
        <v>0.18</v>
      </c>
      <c r="O46" s="27">
        <f t="shared" si="28"/>
        <v>3368.5958591999997</v>
      </c>
      <c r="P46" s="27">
        <f t="shared" si="29"/>
        <v>4593.5398079999995</v>
      </c>
      <c r="Q46" s="27">
        <f t="shared" si="30"/>
        <v>5818.4837567999994</v>
      </c>
      <c r="R46" s="27"/>
      <c r="S46" s="27"/>
      <c r="T46" s="27"/>
      <c r="U46" s="18"/>
      <c r="V46">
        <v>2.3999999999999998E-3</v>
      </c>
      <c r="W46">
        <v>0.99760000000000004</v>
      </c>
      <c r="X46" s="94">
        <f t="shared" si="31"/>
        <v>8.0846300620799987</v>
      </c>
      <c r="Y46" s="94">
        <f t="shared" si="32"/>
        <v>11.024495539199998</v>
      </c>
      <c r="Z46" s="94">
        <f t="shared" si="33"/>
        <v>13.964361016319998</v>
      </c>
      <c r="AA46" s="94">
        <f t="shared" si="34"/>
        <v>3360.5112291379201</v>
      </c>
      <c r="AB46" s="94">
        <f t="shared" si="35"/>
        <v>4582.5153124607996</v>
      </c>
      <c r="AC46" s="94">
        <f t="shared" si="36"/>
        <v>5804.51939578368</v>
      </c>
      <c r="AJ46" s="18"/>
      <c r="AK46">
        <v>2</v>
      </c>
      <c r="AL46" s="34">
        <f t="shared" si="48"/>
        <v>2.2831050228310502E-4</v>
      </c>
      <c r="AM46" s="34">
        <f t="shared" si="49"/>
        <v>0.99977168949771689</v>
      </c>
      <c r="AN46" s="94">
        <f t="shared" si="38"/>
        <v>0.76724000665249315</v>
      </c>
      <c r="AO46" s="94">
        <f t="shared" si="50"/>
        <v>0.38362000332624657</v>
      </c>
      <c r="AP46" s="94">
        <f t="shared" si="51"/>
        <v>3360.1276091345935</v>
      </c>
      <c r="AQ46" s="27"/>
      <c r="AR46" s="27"/>
      <c r="AS46" s="94">
        <f t="shared" si="52"/>
        <v>1.0462363727079451</v>
      </c>
      <c r="AT46" s="94">
        <f t="shared" si="53"/>
        <v>0.52311818635397256</v>
      </c>
      <c r="AU46" s="27">
        <f t="shared" si="54"/>
        <v>4581.992194274445</v>
      </c>
      <c r="AV46" s="27"/>
      <c r="AW46" s="27"/>
      <c r="AX46" s="94">
        <f t="shared" si="44"/>
        <v>1.3252327387633973</v>
      </c>
      <c r="AY46" s="94">
        <f t="shared" si="55"/>
        <v>0.66261636938169866</v>
      </c>
      <c r="AZ46" s="27">
        <f t="shared" si="56"/>
        <v>5803.8567794142982</v>
      </c>
      <c r="BA46" s="27"/>
      <c r="BB46" s="27"/>
      <c r="BC46" s="18"/>
      <c r="BP46" s="117"/>
      <c r="CC46" s="121"/>
      <c r="CF46" s="27"/>
      <c r="CG46" s="27"/>
      <c r="CH46" s="27"/>
      <c r="CI46" s="27"/>
      <c r="CJ46" s="27"/>
      <c r="CK46" s="27"/>
      <c r="CL46" s="27"/>
      <c r="CM46" s="27"/>
      <c r="CN46" s="27"/>
      <c r="CO46" s="27"/>
      <c r="CP46" s="27"/>
      <c r="CQ46" s="27"/>
      <c r="CR46" s="27"/>
      <c r="CS46" s="27"/>
      <c r="CT46" s="27"/>
      <c r="CU46" s="27"/>
      <c r="CV46" s="27"/>
      <c r="CW46" s="27"/>
      <c r="CX46" s="121"/>
      <c r="DA46" s="27"/>
      <c r="DB46" s="27"/>
      <c r="DC46" s="27"/>
      <c r="DD46" s="27"/>
      <c r="DE46" s="27"/>
      <c r="DF46" s="27"/>
      <c r="DG46" s="27"/>
      <c r="DH46" s="27"/>
      <c r="DI46" s="27"/>
      <c r="DJ46" s="27"/>
      <c r="DK46" s="27"/>
      <c r="DL46" s="27"/>
      <c r="DM46" s="27"/>
      <c r="DN46" s="27"/>
      <c r="DO46" s="27"/>
      <c r="DP46" s="27"/>
      <c r="DQ46" s="27"/>
      <c r="DR46" s="27"/>
      <c r="DS46" s="121"/>
      <c r="DY46" s="38"/>
      <c r="DZ46" s="38"/>
      <c r="EA46" s="38"/>
      <c r="EB46" s="38"/>
      <c r="EC46" s="38"/>
      <c r="ED46" s="212"/>
      <c r="EE46" s="212"/>
      <c r="EF46" s="212"/>
      <c r="EG46" s="212"/>
      <c r="EH46" s="212"/>
      <c r="EI46" s="212"/>
      <c r="EJ46" s="212"/>
      <c r="EK46" s="212"/>
      <c r="EL46" s="212"/>
      <c r="EM46" s="212"/>
      <c r="EN46" s="212"/>
      <c r="EO46" s="212"/>
      <c r="EP46" s="212"/>
      <c r="EQ46" s="212"/>
      <c r="ER46" s="212"/>
      <c r="ES46" s="212"/>
      <c r="ET46" s="212"/>
      <c r="EU46" s="212"/>
    </row>
    <row r="47" spans="1:151" x14ac:dyDescent="0.2">
      <c r="A47" s="3" t="s">
        <v>69</v>
      </c>
      <c r="B47">
        <v>1811</v>
      </c>
      <c r="C47">
        <v>1137</v>
      </c>
      <c r="D47">
        <v>0.16</v>
      </c>
      <c r="E47">
        <v>0.4</v>
      </c>
      <c r="F47" s="2">
        <f t="shared" si="57"/>
        <v>724.40000000000009</v>
      </c>
      <c r="G47" t="s">
        <v>11</v>
      </c>
      <c r="H47" s="20"/>
      <c r="I47" s="21"/>
      <c r="J47">
        <v>724</v>
      </c>
      <c r="K47" s="34">
        <f t="shared" si="25"/>
        <v>79.976159999999993</v>
      </c>
      <c r="L47" s="34">
        <f t="shared" si="26"/>
        <v>109.05839999999999</v>
      </c>
      <c r="M47" s="34">
        <f t="shared" si="27"/>
        <v>138.14063999999999</v>
      </c>
      <c r="N47">
        <v>0.4</v>
      </c>
      <c r="O47" s="27">
        <f t="shared" si="28"/>
        <v>23161.095935999998</v>
      </c>
      <c r="P47" s="27">
        <f t="shared" si="29"/>
        <v>31583.312639999996</v>
      </c>
      <c r="Q47" s="27">
        <f t="shared" si="30"/>
        <v>40005.529344000002</v>
      </c>
      <c r="R47" s="27"/>
      <c r="S47" s="27"/>
      <c r="T47" s="27"/>
      <c r="U47" s="18"/>
      <c r="V47">
        <v>2.3999999999999998E-3</v>
      </c>
      <c r="W47">
        <v>0.99760000000000004</v>
      </c>
      <c r="X47" s="94">
        <f t="shared" si="31"/>
        <v>55.586630246399992</v>
      </c>
      <c r="Y47" s="94">
        <f t="shared" si="32"/>
        <v>75.799950335999981</v>
      </c>
      <c r="Z47" s="94">
        <f t="shared" si="33"/>
        <v>96.013270425599998</v>
      </c>
      <c r="AA47" s="94">
        <f t="shared" si="34"/>
        <v>23105.5093057536</v>
      </c>
      <c r="AB47" s="94">
        <f t="shared" si="35"/>
        <v>31507.512689663999</v>
      </c>
      <c r="AC47" s="94">
        <f t="shared" si="36"/>
        <v>39909.516073574407</v>
      </c>
      <c r="AJ47" s="18"/>
      <c r="AK47">
        <v>0</v>
      </c>
      <c r="AL47" s="34">
        <f t="shared" si="48"/>
        <v>0</v>
      </c>
      <c r="AM47" s="34">
        <f t="shared" si="49"/>
        <v>1</v>
      </c>
      <c r="AN47" s="94">
        <f t="shared" si="38"/>
        <v>0</v>
      </c>
      <c r="AO47" s="94">
        <f t="shared" si="50"/>
        <v>0</v>
      </c>
      <c r="AP47" s="94">
        <f t="shared" si="51"/>
        <v>23105.5093057536</v>
      </c>
      <c r="AQ47" s="27"/>
      <c r="AR47" s="27"/>
      <c r="AS47" s="94">
        <f t="shared" si="52"/>
        <v>0</v>
      </c>
      <c r="AT47" s="94">
        <f t="shared" si="53"/>
        <v>0</v>
      </c>
      <c r="AU47" s="27">
        <f t="shared" si="54"/>
        <v>31507.512689663999</v>
      </c>
      <c r="AV47" s="27"/>
      <c r="AW47" s="27"/>
      <c r="AX47" s="94">
        <f t="shared" si="44"/>
        <v>0</v>
      </c>
      <c r="AY47" s="94">
        <f t="shared" si="55"/>
        <v>0</v>
      </c>
      <c r="AZ47" s="27">
        <f t="shared" si="56"/>
        <v>39909.516073574407</v>
      </c>
      <c r="BA47" s="27"/>
      <c r="BB47" s="27"/>
      <c r="BC47" s="18"/>
      <c r="BP47" s="117"/>
      <c r="CC47" s="121"/>
      <c r="CF47" s="27"/>
      <c r="CG47" s="27"/>
      <c r="CH47" s="27"/>
      <c r="CI47" s="27"/>
      <c r="CJ47" s="27"/>
      <c r="CK47" s="27"/>
      <c r="CL47" s="27"/>
      <c r="CM47" s="27"/>
      <c r="CN47" s="27"/>
      <c r="CO47" s="27"/>
      <c r="CP47" s="27"/>
      <c r="CQ47" s="27"/>
      <c r="CR47" s="27"/>
      <c r="CS47" s="27"/>
      <c r="CT47" s="27"/>
      <c r="CU47" s="27"/>
      <c r="CV47" s="27"/>
      <c r="CW47" s="27"/>
      <c r="CX47" s="121"/>
      <c r="DA47" s="27"/>
      <c r="DB47" s="27"/>
      <c r="DC47" s="27"/>
      <c r="DD47" s="27"/>
      <c r="DE47" s="27"/>
      <c r="DF47" s="27"/>
      <c r="DG47" s="27"/>
      <c r="DH47" s="27"/>
      <c r="DI47" s="27"/>
      <c r="DJ47" s="27"/>
      <c r="DK47" s="27"/>
      <c r="DL47" s="27"/>
      <c r="DM47" s="27"/>
      <c r="DN47" s="27"/>
      <c r="DO47" s="27"/>
      <c r="DP47" s="27"/>
      <c r="DQ47" s="27"/>
      <c r="DR47" s="27"/>
      <c r="DS47" s="121"/>
      <c r="DY47" s="38"/>
      <c r="DZ47" s="38"/>
      <c r="EA47" s="38"/>
      <c r="EB47" s="38"/>
      <c r="EC47" s="38"/>
      <c r="ED47" s="212"/>
      <c r="EE47" s="212"/>
      <c r="EF47" s="212"/>
      <c r="EG47" s="212"/>
      <c r="EH47" s="212"/>
      <c r="EI47" s="212"/>
      <c r="EJ47" s="212"/>
      <c r="EK47" s="212"/>
      <c r="EL47" s="212"/>
      <c r="EM47" s="212"/>
      <c r="EN47" s="212"/>
      <c r="EO47" s="212"/>
      <c r="EP47" s="212"/>
      <c r="EQ47" s="212"/>
      <c r="ER47" s="212"/>
      <c r="ES47" s="212"/>
      <c r="ET47" s="212"/>
      <c r="EU47" s="212"/>
    </row>
    <row r="48" spans="1:151" x14ac:dyDescent="0.2">
      <c r="A48" s="3" t="s">
        <v>70</v>
      </c>
      <c r="B48">
        <v>1685</v>
      </c>
      <c r="C48">
        <v>1450</v>
      </c>
      <c r="D48">
        <v>0.06</v>
      </c>
      <c r="E48">
        <v>0.1</v>
      </c>
      <c r="F48" s="2">
        <f t="shared" si="57"/>
        <v>168.5</v>
      </c>
      <c r="G48" t="s">
        <v>11</v>
      </c>
      <c r="H48" s="20"/>
      <c r="I48" s="21"/>
      <c r="J48">
        <v>169</v>
      </c>
      <c r="K48" s="34">
        <f t="shared" si="25"/>
        <v>79.976159999999993</v>
      </c>
      <c r="L48" s="34">
        <f t="shared" si="26"/>
        <v>109.05839999999999</v>
      </c>
      <c r="M48" s="34">
        <f t="shared" si="27"/>
        <v>138.14063999999999</v>
      </c>
      <c r="N48">
        <v>0.1</v>
      </c>
      <c r="O48" s="27">
        <f t="shared" si="28"/>
        <v>1351.5971039999999</v>
      </c>
      <c r="P48" s="27">
        <f t="shared" si="29"/>
        <v>1843.0869599999999</v>
      </c>
      <c r="Q48" s="27">
        <f t="shared" si="30"/>
        <v>2334.5768160000002</v>
      </c>
      <c r="R48" s="27"/>
      <c r="S48" s="27"/>
      <c r="T48" s="27"/>
      <c r="U48" s="18"/>
      <c r="V48">
        <v>2.3999999999999998E-3</v>
      </c>
      <c r="W48">
        <v>0.99760000000000004</v>
      </c>
      <c r="X48" s="94">
        <f t="shared" si="31"/>
        <v>3.2438330495999996</v>
      </c>
      <c r="Y48" s="94">
        <f t="shared" si="32"/>
        <v>4.423408703999999</v>
      </c>
      <c r="Z48" s="94">
        <f t="shared" si="33"/>
        <v>5.6029843583999996</v>
      </c>
      <c r="AA48" s="94">
        <f t="shared" si="34"/>
        <v>1348.3532709504</v>
      </c>
      <c r="AB48" s="94">
        <f t="shared" si="35"/>
        <v>1838.6635512959999</v>
      </c>
      <c r="AC48" s="94">
        <f t="shared" si="36"/>
        <v>2328.9738316416006</v>
      </c>
      <c r="AJ48" s="18"/>
      <c r="AK48">
        <v>0</v>
      </c>
      <c r="AL48" s="34">
        <f t="shared" si="48"/>
        <v>0</v>
      </c>
      <c r="AM48" s="34">
        <f t="shared" si="49"/>
        <v>1</v>
      </c>
      <c r="AN48" s="94">
        <f t="shared" si="38"/>
        <v>0</v>
      </c>
      <c r="AO48" s="94">
        <f t="shared" si="50"/>
        <v>0</v>
      </c>
      <c r="AP48" s="94">
        <f t="shared" si="51"/>
        <v>1348.3532709504</v>
      </c>
      <c r="AQ48" s="27"/>
      <c r="AR48" s="27"/>
      <c r="AS48" s="94">
        <f t="shared" si="52"/>
        <v>0</v>
      </c>
      <c r="AT48" s="94">
        <f t="shared" si="53"/>
        <v>0</v>
      </c>
      <c r="AU48" s="27">
        <f t="shared" si="54"/>
        <v>1838.6635512959999</v>
      </c>
      <c r="AV48" s="27"/>
      <c r="AW48" s="27"/>
      <c r="AX48" s="94">
        <f t="shared" si="44"/>
        <v>0</v>
      </c>
      <c r="AY48" s="94">
        <f t="shared" si="55"/>
        <v>0</v>
      </c>
      <c r="AZ48" s="27">
        <f t="shared" si="56"/>
        <v>2328.9738316416006</v>
      </c>
      <c r="BA48" s="27"/>
      <c r="BB48" s="27"/>
      <c r="BC48" s="18"/>
      <c r="BP48" s="117"/>
      <c r="CC48" s="121"/>
      <c r="CF48" s="27"/>
      <c r="CG48" s="27"/>
      <c r="CH48" s="27"/>
      <c r="CI48" s="27"/>
      <c r="CJ48" s="27"/>
      <c r="CK48" s="27"/>
      <c r="CL48" s="27"/>
      <c r="CM48" s="27"/>
      <c r="CN48" s="27"/>
      <c r="CO48" s="27"/>
      <c r="CP48" s="27"/>
      <c r="CQ48" s="27"/>
      <c r="CR48" s="27"/>
      <c r="CS48" s="27"/>
      <c r="CT48" s="27"/>
      <c r="CU48" s="27"/>
      <c r="CV48" s="27"/>
      <c r="CW48" s="27"/>
      <c r="CX48" s="121"/>
      <c r="DA48" s="27"/>
      <c r="DB48" s="27"/>
      <c r="DC48" s="27"/>
      <c r="DD48" s="27"/>
      <c r="DE48" s="27"/>
      <c r="DF48" s="27"/>
      <c r="DG48" s="27"/>
      <c r="DH48" s="27"/>
      <c r="DI48" s="27"/>
      <c r="DJ48" s="27"/>
      <c r="DK48" s="27"/>
      <c r="DL48" s="27"/>
      <c r="DM48" s="27"/>
      <c r="DN48" s="27"/>
      <c r="DO48" s="27"/>
      <c r="DP48" s="27"/>
      <c r="DQ48" s="27"/>
      <c r="DR48" s="27"/>
      <c r="DS48" s="121"/>
      <c r="DY48" s="38"/>
      <c r="DZ48" s="38"/>
      <c r="EA48" s="38"/>
      <c r="EB48" s="38"/>
      <c r="EC48" s="38"/>
      <c r="ED48" s="212"/>
      <c r="EE48" s="212"/>
      <c r="EF48" s="212"/>
      <c r="EG48" s="212"/>
      <c r="EH48" s="212"/>
      <c r="EI48" s="212"/>
      <c r="EJ48" s="212"/>
      <c r="EK48" s="212"/>
      <c r="EL48" s="212"/>
      <c r="EM48" s="212"/>
      <c r="EN48" s="212"/>
      <c r="EO48" s="212"/>
      <c r="EP48" s="212"/>
      <c r="EQ48" s="212"/>
      <c r="ER48" s="212"/>
      <c r="ES48" s="212"/>
      <c r="ET48" s="212"/>
      <c r="EU48" s="212"/>
    </row>
    <row r="49" spans="1:151" x14ac:dyDescent="0.2">
      <c r="A49" s="3" t="s">
        <v>71</v>
      </c>
      <c r="B49">
        <v>1693</v>
      </c>
      <c r="C49">
        <v>1035</v>
      </c>
      <c r="D49">
        <v>1.42</v>
      </c>
      <c r="E49">
        <v>1.1499999999999999</v>
      </c>
      <c r="F49" s="2">
        <f t="shared" si="57"/>
        <v>1946.9499999999998</v>
      </c>
      <c r="G49" t="s">
        <v>11</v>
      </c>
      <c r="H49" s="20"/>
      <c r="I49" s="21"/>
      <c r="J49">
        <v>1947</v>
      </c>
      <c r="K49" s="34">
        <f t="shared" si="25"/>
        <v>79.976159999999993</v>
      </c>
      <c r="L49" s="34">
        <f t="shared" si="26"/>
        <v>109.05839999999999</v>
      </c>
      <c r="M49" s="34">
        <f t="shared" si="27"/>
        <v>138.14063999999999</v>
      </c>
      <c r="N49">
        <v>1.1499999999999999</v>
      </c>
      <c r="O49" s="27">
        <f t="shared" si="28"/>
        <v>179070.62104799997</v>
      </c>
      <c r="P49" s="27">
        <f t="shared" si="29"/>
        <v>244187.21051999996</v>
      </c>
      <c r="Q49" s="27">
        <f t="shared" si="30"/>
        <v>309303.79999199993</v>
      </c>
      <c r="R49" s="27"/>
      <c r="S49" s="27"/>
      <c r="T49" s="27"/>
      <c r="U49" s="18"/>
      <c r="V49">
        <v>2.3999999999999998E-3</v>
      </c>
      <c r="W49">
        <v>0.99760000000000004</v>
      </c>
      <c r="X49" s="94">
        <f t="shared" si="31"/>
        <v>429.76949051519989</v>
      </c>
      <c r="Y49" s="94">
        <f t="shared" si="32"/>
        <v>586.04930524799988</v>
      </c>
      <c r="Z49" s="94">
        <f t="shared" si="33"/>
        <v>742.32911998079976</v>
      </c>
      <c r="AA49" s="94">
        <f t="shared" si="34"/>
        <v>178640.85155748477</v>
      </c>
      <c r="AB49" s="94">
        <f t="shared" si="35"/>
        <v>243601.16121475198</v>
      </c>
      <c r="AC49" s="94">
        <f t="shared" si="36"/>
        <v>308561.47087201913</v>
      </c>
      <c r="AJ49" s="18"/>
      <c r="AK49">
        <v>155</v>
      </c>
      <c r="AL49" s="34">
        <f t="shared" si="48"/>
        <v>1.7694063926940638E-2</v>
      </c>
      <c r="AM49" s="34">
        <f t="shared" si="49"/>
        <v>0.98230593607305938</v>
      </c>
      <c r="AN49" s="94">
        <f t="shared" si="38"/>
        <v>3160.8826474212487</v>
      </c>
      <c r="AO49" s="94">
        <f t="shared" si="50"/>
        <v>1580.4413237106244</v>
      </c>
      <c r="AP49" s="94">
        <f t="shared" si="51"/>
        <v>177060.41023377416</v>
      </c>
      <c r="AQ49" s="27"/>
      <c r="AR49" s="27"/>
      <c r="AS49" s="94">
        <f t="shared" si="52"/>
        <v>4310.2945192107936</v>
      </c>
      <c r="AT49" s="94">
        <f t="shared" si="53"/>
        <v>2155.1472596053968</v>
      </c>
      <c r="AU49" s="27">
        <f t="shared" si="54"/>
        <v>241446.0139551466</v>
      </c>
      <c r="AV49" s="27"/>
      <c r="AW49" s="27"/>
      <c r="AX49" s="94">
        <f t="shared" si="44"/>
        <v>5459.706391000338</v>
      </c>
      <c r="AY49" s="94">
        <f t="shared" si="55"/>
        <v>2729.853195500169</v>
      </c>
      <c r="AZ49" s="27">
        <f t="shared" si="56"/>
        <v>305831.61767651897</v>
      </c>
      <c r="BA49" s="27"/>
      <c r="BB49" s="27"/>
      <c r="BC49" s="18"/>
      <c r="BP49" s="117"/>
      <c r="CC49" s="121"/>
      <c r="CF49" s="27"/>
      <c r="CG49" s="27"/>
      <c r="CH49" s="27"/>
      <c r="CI49" s="27"/>
      <c r="CJ49" s="27"/>
      <c r="CK49" s="27"/>
      <c r="CL49" s="27"/>
      <c r="CM49" s="27"/>
      <c r="CN49" s="27"/>
      <c r="CO49" s="27"/>
      <c r="CP49" s="27"/>
      <c r="CQ49" s="27"/>
      <c r="CR49" s="27"/>
      <c r="CS49" s="27"/>
      <c r="CT49" s="27"/>
      <c r="CU49" s="27"/>
      <c r="CV49" s="27"/>
      <c r="CW49" s="27"/>
      <c r="CX49" s="121"/>
      <c r="DA49" s="27"/>
      <c r="DB49" s="27"/>
      <c r="DC49" s="27"/>
      <c r="DD49" s="27"/>
      <c r="DE49" s="27"/>
      <c r="DF49" s="27"/>
      <c r="DG49" s="27"/>
      <c r="DH49" s="27"/>
      <c r="DI49" s="27"/>
      <c r="DJ49" s="27"/>
      <c r="DK49" s="27"/>
      <c r="DL49" s="27"/>
      <c r="DM49" s="27"/>
      <c r="DN49" s="27"/>
      <c r="DO49" s="27"/>
      <c r="DP49" s="27"/>
      <c r="DQ49" s="27"/>
      <c r="DR49" s="27"/>
      <c r="DS49" s="121"/>
      <c r="DY49" s="38"/>
      <c r="DZ49" s="38"/>
      <c r="EA49" s="38"/>
      <c r="EB49" s="38"/>
      <c r="EC49" s="38"/>
      <c r="ED49" s="212"/>
      <c r="EE49" s="212"/>
      <c r="EF49" s="212"/>
      <c r="EG49" s="212"/>
      <c r="EH49" s="212"/>
      <c r="EI49" s="212"/>
      <c r="EJ49" s="212"/>
      <c r="EK49" s="212"/>
      <c r="EL49" s="212"/>
      <c r="EM49" s="212"/>
      <c r="EN49" s="212"/>
      <c r="EO49" s="212"/>
      <c r="EP49" s="212"/>
      <c r="EQ49" s="212"/>
      <c r="ER49" s="212"/>
      <c r="ES49" s="212"/>
      <c r="ET49" s="212"/>
      <c r="EU49" s="212"/>
    </row>
    <row r="50" spans="1:151" x14ac:dyDescent="0.2">
      <c r="A50" s="247" t="s">
        <v>72</v>
      </c>
      <c r="B50" s="247">
        <v>1595</v>
      </c>
      <c r="C50" s="247">
        <v>4718</v>
      </c>
      <c r="D50" s="247">
        <v>0.52</v>
      </c>
      <c r="E50" s="247">
        <v>0.6</v>
      </c>
      <c r="F50" s="263">
        <f t="shared" si="57"/>
        <v>957</v>
      </c>
      <c r="G50" s="247" t="s">
        <v>11</v>
      </c>
      <c r="H50" s="73"/>
      <c r="I50" s="73"/>
      <c r="J50" s="247">
        <v>957</v>
      </c>
      <c r="K50" s="264">
        <f t="shared" si="25"/>
        <v>79.976159999999993</v>
      </c>
      <c r="L50" s="264">
        <f t="shared" si="26"/>
        <v>109.05839999999999</v>
      </c>
      <c r="M50" s="264">
        <f t="shared" si="27"/>
        <v>138.14063999999999</v>
      </c>
      <c r="N50" s="247">
        <v>0.6</v>
      </c>
      <c r="O50" s="255">
        <f t="shared" si="28"/>
        <v>45922.311071999997</v>
      </c>
      <c r="P50" s="255">
        <f t="shared" si="29"/>
        <v>62621.333279999992</v>
      </c>
      <c r="Q50" s="255">
        <f t="shared" si="30"/>
        <v>79320.355487999987</v>
      </c>
      <c r="R50" s="255"/>
      <c r="S50" s="255"/>
      <c r="T50" s="255"/>
      <c r="U50" s="30"/>
      <c r="V50">
        <v>2.3999999999999998E-3</v>
      </c>
      <c r="W50">
        <v>0.99760000000000004</v>
      </c>
      <c r="X50" s="94">
        <f t="shared" si="31"/>
        <v>110.21354657279998</v>
      </c>
      <c r="Y50" s="94">
        <f t="shared" si="32"/>
        <v>150.29119987199996</v>
      </c>
      <c r="Z50" s="94">
        <f t="shared" si="33"/>
        <v>190.36885317119996</v>
      </c>
      <c r="AA50" s="94">
        <f t="shared" si="34"/>
        <v>45812.097525427198</v>
      </c>
      <c r="AB50" s="94">
        <f t="shared" si="35"/>
        <v>62471.042080127998</v>
      </c>
      <c r="AC50" s="94">
        <f t="shared" si="36"/>
        <v>79129.986634828791</v>
      </c>
      <c r="AJ50" s="19"/>
      <c r="AK50">
        <v>10</v>
      </c>
      <c r="AL50" s="34">
        <f t="shared" si="48"/>
        <v>1.1415525114155251E-3</v>
      </c>
      <c r="AM50" s="34">
        <f t="shared" si="49"/>
        <v>0.99885844748858443</v>
      </c>
      <c r="AN50" s="94">
        <f t="shared" si="38"/>
        <v>52.296914983364381</v>
      </c>
      <c r="AO50" s="94">
        <f t="shared" si="50"/>
        <v>26.148457491682191</v>
      </c>
      <c r="AP50" s="94">
        <f t="shared" si="51"/>
        <v>45785.949067935515</v>
      </c>
      <c r="AQ50" s="27"/>
      <c r="AR50" s="27"/>
      <c r="AS50" s="94">
        <f t="shared" si="52"/>
        <v>71.313974977315056</v>
      </c>
      <c r="AT50" s="94">
        <f t="shared" si="53"/>
        <v>35.656987488657528</v>
      </c>
      <c r="AU50" s="27">
        <f t="shared" si="54"/>
        <v>62435.385092639335</v>
      </c>
      <c r="AV50" s="27"/>
      <c r="AW50" s="27"/>
      <c r="AX50" s="94">
        <f t="shared" si="44"/>
        <v>90.331034971265737</v>
      </c>
      <c r="AY50" s="94">
        <f t="shared" si="55"/>
        <v>45.165517485632868</v>
      </c>
      <c r="AZ50" s="27">
        <f t="shared" si="56"/>
        <v>79084.821117343148</v>
      </c>
      <c r="BA50" s="27"/>
      <c r="BB50" s="27"/>
      <c r="BC50" s="18"/>
      <c r="BD50" s="5"/>
      <c r="BE50" s="5"/>
      <c r="BF50" s="5"/>
      <c r="BG50" s="5"/>
      <c r="BH50" s="5"/>
      <c r="BI50" s="5"/>
      <c r="BJ50" s="5"/>
      <c r="BK50" s="5"/>
      <c r="BL50" s="5"/>
      <c r="BM50" s="5"/>
      <c r="BN50" s="5"/>
      <c r="BO50" s="5"/>
      <c r="BP50" s="29"/>
      <c r="CC50" s="121"/>
      <c r="CF50" s="27"/>
      <c r="CG50" s="27"/>
      <c r="CH50" s="27"/>
      <c r="CI50" s="27"/>
      <c r="CJ50" s="27"/>
      <c r="CK50" s="27"/>
      <c r="CL50" s="27"/>
      <c r="CM50" s="27"/>
      <c r="CN50" s="27"/>
      <c r="CO50" s="27"/>
      <c r="CP50" s="27"/>
      <c r="CQ50" s="27"/>
      <c r="CR50" s="27"/>
      <c r="CS50" s="27"/>
      <c r="CT50" s="27"/>
      <c r="CU50" s="27"/>
      <c r="CV50" s="27"/>
      <c r="CW50" s="27"/>
      <c r="CX50" s="121"/>
      <c r="DA50" s="27"/>
      <c r="DB50" s="27"/>
      <c r="DC50" s="27"/>
      <c r="DD50" s="27"/>
      <c r="DE50" s="27"/>
      <c r="DF50" s="27"/>
      <c r="DG50" s="27"/>
      <c r="DH50" s="27"/>
      <c r="DI50" s="27"/>
      <c r="DJ50" s="27"/>
      <c r="DK50" s="27"/>
      <c r="DL50" s="27"/>
      <c r="DM50" s="27"/>
      <c r="DN50" s="27"/>
      <c r="DO50" s="27"/>
      <c r="DP50" s="27"/>
      <c r="DQ50" s="27"/>
      <c r="DR50" s="27"/>
      <c r="DS50" s="121"/>
      <c r="DY50" s="38"/>
      <c r="DZ50" s="38"/>
      <c r="EA50" s="38"/>
      <c r="EB50" s="38"/>
      <c r="EC50" s="38"/>
      <c r="ED50" s="212"/>
      <c r="EE50" s="212"/>
      <c r="EF50" s="212"/>
      <c r="EG50" s="212"/>
      <c r="EH50" s="212"/>
      <c r="EI50" s="212"/>
      <c r="EJ50" s="212"/>
      <c r="EK50" s="212"/>
      <c r="EL50" s="212"/>
      <c r="EM50" s="212"/>
      <c r="EN50" s="212"/>
      <c r="EO50" s="212"/>
      <c r="EP50" s="212"/>
      <c r="EQ50" s="212"/>
      <c r="ER50" s="212"/>
      <c r="ES50" s="212"/>
      <c r="ET50" s="212"/>
      <c r="EU50" s="212"/>
    </row>
    <row r="51" spans="1:151" x14ac:dyDescent="0.2">
      <c r="J51" s="44" t="s">
        <v>331</v>
      </c>
      <c r="K51" s="224"/>
      <c r="L51" s="224"/>
      <c r="R51" s="27"/>
      <c r="T51" s="27"/>
      <c r="BC51" s="59"/>
      <c r="BP51" s="118"/>
      <c r="CC51" s="121"/>
      <c r="CF51" s="27"/>
      <c r="CG51" s="27"/>
      <c r="CH51" s="27"/>
      <c r="CI51" s="27"/>
      <c r="CJ51" s="27"/>
      <c r="CK51" s="27"/>
      <c r="CL51" s="27"/>
      <c r="CM51" s="27"/>
      <c r="CN51" s="27"/>
      <c r="CO51" s="27"/>
      <c r="CP51" s="27"/>
      <c r="CQ51" s="27"/>
      <c r="CR51" s="27"/>
      <c r="CS51" s="27"/>
      <c r="CT51" s="27"/>
      <c r="CU51" s="27"/>
      <c r="CV51" s="27"/>
      <c r="CW51" s="27"/>
      <c r="CX51" s="121"/>
      <c r="DA51" s="27"/>
      <c r="DB51" s="27"/>
      <c r="DC51" s="27"/>
      <c r="DD51" s="27"/>
      <c r="DE51" s="27"/>
      <c r="DF51" s="27"/>
      <c r="DG51" s="27"/>
      <c r="DH51" s="27"/>
      <c r="DI51" s="27"/>
      <c r="DJ51" s="27"/>
      <c r="DK51" s="27"/>
      <c r="DL51" s="27"/>
      <c r="DM51" s="27"/>
      <c r="DN51" s="27"/>
      <c r="DO51" s="27"/>
      <c r="DP51" s="27"/>
      <c r="DQ51" s="27"/>
      <c r="DR51" s="27"/>
      <c r="DS51" s="121"/>
      <c r="DY51" s="38"/>
      <c r="DZ51" s="38"/>
      <c r="EA51" s="38"/>
      <c r="EB51" s="38"/>
      <c r="EC51" s="38"/>
      <c r="ED51" s="212"/>
      <c r="EE51" s="212"/>
      <c r="EF51" s="212"/>
      <c r="EG51" s="212"/>
      <c r="EH51" s="212"/>
      <c r="EI51" s="212"/>
      <c r="EJ51" s="212"/>
      <c r="EK51" s="212"/>
      <c r="EL51" s="212"/>
      <c r="EM51" s="212"/>
      <c r="EN51" s="212"/>
      <c r="EO51" s="212"/>
      <c r="EP51" s="212"/>
      <c r="EQ51" s="212"/>
      <c r="ER51" s="212"/>
      <c r="ES51" s="212"/>
      <c r="ET51" s="212"/>
      <c r="EU51" s="212"/>
    </row>
    <row r="52" spans="1:151" x14ac:dyDescent="0.2">
      <c r="J52" t="s">
        <v>335</v>
      </c>
      <c r="BC52" s="59"/>
      <c r="BD52" s="35"/>
      <c r="BE52" s="37"/>
      <c r="BF52" s="35"/>
      <c r="BG52" s="35"/>
      <c r="BH52" s="35"/>
      <c r="BI52" s="35"/>
      <c r="BP52" s="119"/>
      <c r="CC52" s="121"/>
      <c r="CF52" s="27"/>
      <c r="CG52" s="27"/>
      <c r="CH52" s="27"/>
      <c r="CI52" s="27"/>
      <c r="CJ52" s="27"/>
      <c r="CK52" s="27"/>
      <c r="CL52" s="27"/>
      <c r="CM52" s="27"/>
      <c r="CN52" s="27"/>
      <c r="CO52" s="27"/>
      <c r="CP52" s="27"/>
      <c r="CQ52" s="27"/>
      <c r="CR52" s="27"/>
      <c r="CS52" s="27"/>
      <c r="CT52" s="27"/>
      <c r="CU52" s="27"/>
      <c r="CV52" s="27"/>
      <c r="CW52" s="27"/>
      <c r="CX52" s="121"/>
      <c r="DA52" s="27"/>
      <c r="DB52" s="27"/>
      <c r="DC52" s="27"/>
      <c r="DD52" s="27"/>
      <c r="DE52" s="27"/>
      <c r="DF52" s="27"/>
      <c r="DG52" s="27"/>
      <c r="DH52" s="27"/>
      <c r="DI52" s="27"/>
      <c r="DJ52" s="27"/>
      <c r="DK52" s="27"/>
      <c r="DL52" s="27"/>
      <c r="DM52" s="27"/>
      <c r="DN52" s="27"/>
      <c r="DO52" s="27"/>
      <c r="DP52" s="27"/>
      <c r="DQ52" s="27"/>
      <c r="DR52" s="27"/>
      <c r="DS52" s="121"/>
      <c r="DY52" s="38"/>
      <c r="DZ52" s="38"/>
      <c r="EA52" s="38"/>
      <c r="EB52" s="38"/>
      <c r="EC52" s="38"/>
      <c r="ED52" s="212"/>
      <c r="EE52" s="212"/>
      <c r="EF52" s="212"/>
      <c r="EG52" s="212"/>
      <c r="EH52" s="212"/>
      <c r="EI52" s="212"/>
      <c r="EJ52" s="212"/>
      <c r="EK52" s="212"/>
      <c r="EL52" s="212"/>
      <c r="EM52" s="212"/>
      <c r="EN52" s="212"/>
      <c r="EO52" s="212"/>
      <c r="EP52" s="212"/>
      <c r="EQ52" s="212"/>
      <c r="ER52" s="212"/>
      <c r="ES52" s="212"/>
      <c r="ET52" s="212"/>
      <c r="EU52" s="212"/>
    </row>
    <row r="53" spans="1:151" x14ac:dyDescent="0.2">
      <c r="AK53" t="s">
        <v>93</v>
      </c>
      <c r="BC53" s="18"/>
      <c r="BD53" s="7" t="s">
        <v>84</v>
      </c>
      <c r="BE53" s="67"/>
      <c r="BF53" s="7"/>
      <c r="BG53" s="7"/>
      <c r="BH53" s="7"/>
      <c r="BI53" s="7"/>
      <c r="BJ53" s="1"/>
      <c r="BK53" s="1"/>
      <c r="BL53" s="1"/>
      <c r="BM53" s="1"/>
      <c r="BN53" s="1"/>
      <c r="BO53" s="1"/>
      <c r="BP53" s="117"/>
      <c r="CC53" s="121"/>
      <c r="CF53" s="27"/>
      <c r="CG53" s="27"/>
      <c r="CH53" s="27"/>
      <c r="CI53" s="27"/>
      <c r="CJ53" s="27"/>
      <c r="CK53" s="27"/>
      <c r="CL53" s="27"/>
      <c r="CM53" s="27"/>
      <c r="CN53" s="27"/>
      <c r="CO53" s="27"/>
      <c r="CP53" s="27"/>
      <c r="CQ53" s="27"/>
      <c r="CR53" s="27"/>
      <c r="CS53" s="27"/>
      <c r="CT53" s="27"/>
      <c r="CU53" s="27"/>
      <c r="CV53" s="27"/>
      <c r="CW53" s="27"/>
      <c r="CX53" s="121"/>
      <c r="DA53" s="27"/>
      <c r="DB53" s="27"/>
      <c r="DC53" s="27"/>
      <c r="DD53" s="27"/>
      <c r="DE53" s="27"/>
      <c r="DF53" s="27"/>
      <c r="DG53" s="27"/>
      <c r="DH53" s="27"/>
      <c r="DI53" s="27"/>
      <c r="DJ53" s="27"/>
      <c r="DK53" s="27"/>
      <c r="DL53" s="27"/>
      <c r="DM53" s="27"/>
      <c r="DN53" s="27"/>
      <c r="DO53" s="27"/>
      <c r="DP53" s="27"/>
      <c r="DQ53" s="27"/>
      <c r="DR53" s="27"/>
      <c r="DS53" s="121"/>
      <c r="DY53" s="38"/>
      <c r="DZ53" s="38"/>
      <c r="EA53" s="38"/>
      <c r="EB53" s="38"/>
      <c r="EC53" s="38"/>
      <c r="ED53" s="212"/>
      <c r="EE53" s="212"/>
      <c r="EF53" s="212"/>
      <c r="EG53" s="212"/>
      <c r="EH53" s="212"/>
      <c r="EI53" s="212"/>
      <c r="EJ53" s="212"/>
      <c r="EK53" s="212"/>
      <c r="EL53" s="212"/>
      <c r="EM53" s="212"/>
      <c r="EN53" s="212"/>
      <c r="EO53" s="212"/>
      <c r="EP53" s="212"/>
      <c r="EQ53" s="212"/>
      <c r="ER53" s="212"/>
      <c r="ES53" s="212"/>
      <c r="ET53" s="212"/>
      <c r="EU53" s="212"/>
    </row>
    <row r="54" spans="1:151" x14ac:dyDescent="0.2">
      <c r="BC54" s="18"/>
      <c r="BD54" s="9" t="s">
        <v>77</v>
      </c>
      <c r="BE54" s="9" t="s">
        <v>78</v>
      </c>
      <c r="BF54" s="9" t="s">
        <v>79</v>
      </c>
      <c r="BG54" s="9"/>
      <c r="BH54" s="9"/>
      <c r="BI54" s="9"/>
      <c r="BP54" s="117"/>
      <c r="CC54" s="121"/>
      <c r="CF54" s="27"/>
      <c r="CG54" s="27"/>
      <c r="CH54" s="27"/>
      <c r="CI54" s="27"/>
      <c r="CJ54" s="27"/>
      <c r="CK54" s="27"/>
      <c r="CL54" s="27"/>
      <c r="CM54" s="27"/>
      <c r="CN54" s="27"/>
      <c r="CO54" s="27"/>
      <c r="CP54" s="27"/>
      <c r="CQ54" s="27"/>
      <c r="CR54" s="27"/>
      <c r="CS54" s="27"/>
      <c r="CT54" s="27"/>
      <c r="CU54" s="27"/>
      <c r="CV54" s="27"/>
      <c r="CW54" s="27"/>
      <c r="CX54" s="121"/>
      <c r="DA54" s="27"/>
      <c r="DB54" s="27"/>
      <c r="DC54" s="27"/>
      <c r="DD54" s="27"/>
      <c r="DE54" s="27"/>
      <c r="DF54" s="27"/>
      <c r="DG54" s="27"/>
      <c r="DH54" s="27"/>
      <c r="DI54" s="27"/>
      <c r="DJ54" s="27"/>
      <c r="DK54" s="27"/>
      <c r="DL54" s="27"/>
      <c r="DM54" s="27"/>
      <c r="DN54" s="27"/>
      <c r="DO54" s="27"/>
      <c r="DP54" s="27"/>
      <c r="DQ54" s="27"/>
      <c r="DR54" s="27"/>
      <c r="DS54" s="121"/>
      <c r="DY54" s="38"/>
      <c r="DZ54" s="38"/>
      <c r="EA54" s="38"/>
      <c r="EB54" s="38"/>
      <c r="EC54" s="38"/>
      <c r="ED54" s="212"/>
      <c r="EE54" s="212"/>
      <c r="EF54" s="212"/>
      <c r="EG54" s="212"/>
      <c r="EH54" s="212"/>
      <c r="EI54" s="212"/>
      <c r="EJ54" s="212"/>
      <c r="EK54" s="212"/>
      <c r="EL54" s="212"/>
      <c r="EM54" s="212"/>
      <c r="EN54" s="212"/>
      <c r="EO54" s="212"/>
      <c r="EP54" s="212"/>
      <c r="EQ54" s="212"/>
      <c r="ER54" s="212"/>
      <c r="ES54" s="212"/>
      <c r="ET54" s="212"/>
      <c r="EU54" s="212"/>
    </row>
    <row r="55" spans="1:151" x14ac:dyDescent="0.2">
      <c r="BC55" s="18"/>
      <c r="BD55" s="9"/>
      <c r="BE55" s="9"/>
      <c r="BF55" s="9"/>
      <c r="BG55" s="9"/>
      <c r="BH55" s="9"/>
      <c r="BI55" s="9"/>
      <c r="BP55" s="117"/>
      <c r="CC55" s="121"/>
      <c r="CF55" s="27"/>
      <c r="CG55" s="27"/>
      <c r="CH55" s="27"/>
      <c r="CI55" s="27"/>
      <c r="CJ55" s="27"/>
      <c r="CK55" s="27"/>
      <c r="CL55" s="27"/>
      <c r="CM55" s="27"/>
      <c r="CN55" s="27"/>
      <c r="CO55" s="27"/>
      <c r="CP55" s="27"/>
      <c r="CQ55" s="27"/>
      <c r="CR55" s="27"/>
      <c r="CS55" s="27"/>
      <c r="CT55" s="27"/>
      <c r="CU55" s="27"/>
      <c r="CV55" s="27"/>
      <c r="CW55" s="27"/>
      <c r="CX55" s="121"/>
      <c r="DA55" s="27"/>
      <c r="DB55" s="27"/>
      <c r="DC55" s="27"/>
      <c r="DD55" s="27"/>
      <c r="DE55" s="27"/>
      <c r="DF55" s="27"/>
      <c r="DG55" s="27"/>
      <c r="DH55" s="27"/>
      <c r="DI55" s="27"/>
      <c r="DJ55" s="27"/>
      <c r="DK55" s="27"/>
      <c r="DL55" s="27"/>
      <c r="DM55" s="27"/>
      <c r="DN55" s="27"/>
      <c r="DO55" s="27"/>
      <c r="DP55" s="27"/>
      <c r="DQ55" s="27"/>
      <c r="DR55" s="27"/>
      <c r="DS55" s="121"/>
      <c r="DY55" s="38"/>
      <c r="DZ55" s="38"/>
      <c r="EA55" s="38"/>
      <c r="EB55" s="38"/>
      <c r="EC55" s="38"/>
      <c r="ED55" s="212"/>
      <c r="EE55" s="212"/>
      <c r="EF55" s="212"/>
      <c r="EG55" s="212"/>
      <c r="EH55" s="212"/>
      <c r="EI55" s="212"/>
      <c r="EJ55" s="212"/>
      <c r="EK55" s="212"/>
      <c r="EL55" s="212"/>
      <c r="EM55" s="212"/>
      <c r="EN55" s="212"/>
      <c r="EO55" s="212"/>
      <c r="EP55" s="212"/>
      <c r="EQ55" s="212"/>
      <c r="ER55" s="212"/>
      <c r="ES55" s="212"/>
      <c r="ET55" s="212"/>
      <c r="EU55" s="212"/>
    </row>
    <row r="56" spans="1:151" x14ac:dyDescent="0.2">
      <c r="BC56" s="19"/>
      <c r="BD56" s="33">
        <v>0.88480000000000003</v>
      </c>
      <c r="BE56" s="33">
        <v>0.94579999999999997</v>
      </c>
      <c r="BF56" s="33">
        <v>0.97699999999999998</v>
      </c>
      <c r="BG56" s="33"/>
      <c r="BH56" s="33"/>
      <c r="BI56" s="33"/>
      <c r="BP56" s="29"/>
      <c r="CC56" s="121"/>
      <c r="CF56" s="27"/>
      <c r="CG56" s="27"/>
      <c r="CH56" s="27"/>
      <c r="CI56" s="27"/>
      <c r="CJ56" s="27"/>
      <c r="CK56" s="27"/>
      <c r="CL56" s="27"/>
      <c r="CM56" s="27"/>
      <c r="CN56" s="27"/>
      <c r="CO56" s="27"/>
      <c r="CP56" s="27"/>
      <c r="CQ56" s="27"/>
      <c r="CR56" s="27"/>
      <c r="CS56" s="27"/>
      <c r="CT56" s="27"/>
      <c r="CU56" s="27"/>
      <c r="CV56" s="27"/>
      <c r="CW56" s="27"/>
      <c r="CX56" s="121"/>
      <c r="DA56" s="27"/>
      <c r="DB56" s="27"/>
      <c r="DC56" s="27"/>
      <c r="DD56" s="27"/>
      <c r="DE56" s="27"/>
      <c r="DF56" s="27"/>
      <c r="DG56" s="27"/>
      <c r="DH56" s="27"/>
      <c r="DI56" s="27"/>
      <c r="DJ56" s="27"/>
      <c r="DK56" s="27"/>
      <c r="DL56" s="27"/>
      <c r="DM56" s="27"/>
      <c r="DN56" s="27"/>
      <c r="DO56" s="27"/>
      <c r="DP56" s="27"/>
      <c r="DQ56" s="27"/>
      <c r="DR56" s="27"/>
      <c r="DS56" s="121"/>
      <c r="DY56" s="38"/>
      <c r="DZ56" s="38"/>
      <c r="EA56" s="38"/>
      <c r="EB56" s="38"/>
      <c r="EC56" s="38"/>
      <c r="ED56" s="212"/>
      <c r="EE56" s="212"/>
      <c r="EF56" s="212"/>
      <c r="EG56" s="212"/>
      <c r="EH56" s="212"/>
      <c r="EI56" s="212"/>
      <c r="EJ56" s="212"/>
      <c r="EK56" s="212"/>
      <c r="EL56" s="212"/>
      <c r="EM56" s="212"/>
      <c r="EN56" s="212"/>
      <c r="EO56" s="212"/>
      <c r="EP56" s="212"/>
      <c r="EQ56" s="212"/>
      <c r="ER56" s="212"/>
      <c r="ES56" s="212"/>
      <c r="ET56" s="212"/>
      <c r="EU56" s="212"/>
    </row>
    <row r="57" spans="1:151" x14ac:dyDescent="0.2">
      <c r="BD57" s="36"/>
      <c r="BE57" s="36"/>
      <c r="BF57" s="36"/>
      <c r="BG57" s="36"/>
      <c r="BH57" s="36"/>
      <c r="BI57" s="36"/>
      <c r="BJ57" s="36"/>
      <c r="BK57" s="36"/>
      <c r="BL57" s="36"/>
      <c r="BM57" s="36"/>
      <c r="BN57" s="36"/>
      <c r="BO57" s="36"/>
      <c r="BP57" s="36"/>
      <c r="CC57" s="121"/>
      <c r="CF57" s="27"/>
      <c r="CG57" s="27"/>
      <c r="CH57" s="27"/>
      <c r="CI57" s="27"/>
      <c r="CJ57" s="27"/>
      <c r="CK57" s="27"/>
      <c r="CL57" s="27"/>
      <c r="CM57" s="27"/>
      <c r="CN57" s="27"/>
      <c r="CO57" s="27"/>
      <c r="CP57" s="27"/>
      <c r="CQ57" s="27"/>
      <c r="CR57" s="27"/>
      <c r="CS57" s="27"/>
      <c r="CT57" s="27"/>
      <c r="CU57" s="27"/>
      <c r="CV57" s="27"/>
      <c r="CW57" s="27"/>
      <c r="CX57" s="121"/>
      <c r="DA57" s="27"/>
      <c r="DB57" s="27"/>
      <c r="DC57" s="27"/>
      <c r="DD57" s="27"/>
      <c r="DE57" s="27"/>
      <c r="DF57" s="27"/>
      <c r="DG57" s="27"/>
      <c r="DH57" s="27"/>
      <c r="DI57" s="27"/>
      <c r="DJ57" s="27"/>
      <c r="DK57" s="27"/>
      <c r="DL57" s="27"/>
      <c r="DM57" s="27"/>
      <c r="DN57" s="27"/>
      <c r="DO57" s="27"/>
      <c r="DP57" s="27"/>
      <c r="DQ57" s="27"/>
      <c r="DR57" s="27"/>
      <c r="DS57" s="121"/>
      <c r="DY57" s="38"/>
      <c r="DZ57" s="38"/>
      <c r="EA57" s="38"/>
      <c r="EB57" s="38"/>
      <c r="EC57" s="38"/>
      <c r="ED57" s="212"/>
      <c r="EE57" s="212"/>
      <c r="EF57" s="212"/>
      <c r="EG57" s="212"/>
      <c r="EH57" s="212"/>
      <c r="EI57" s="212"/>
      <c r="EJ57" s="212"/>
      <c r="EK57" s="212"/>
      <c r="EL57" s="212"/>
      <c r="EM57" s="212"/>
      <c r="EN57" s="212"/>
      <c r="EO57" s="212"/>
      <c r="EP57" s="212"/>
      <c r="EQ57" s="212"/>
      <c r="ER57" s="212"/>
      <c r="ES57" s="212"/>
      <c r="ET57" s="212"/>
      <c r="EU57" s="212"/>
    </row>
    <row r="58" spans="1:151" x14ac:dyDescent="0.2">
      <c r="CC58" s="121"/>
      <c r="CF58" s="27"/>
      <c r="CG58" s="27"/>
      <c r="CH58" s="27"/>
      <c r="CI58" s="27"/>
      <c r="CJ58" s="27"/>
      <c r="CK58" s="27"/>
      <c r="CL58" s="27"/>
      <c r="CM58" s="27"/>
      <c r="CN58" s="27"/>
      <c r="CO58" s="27"/>
      <c r="CP58" s="27"/>
      <c r="CQ58" s="27"/>
      <c r="CR58" s="27"/>
      <c r="CS58" s="27"/>
      <c r="CT58" s="27"/>
      <c r="CU58" s="27"/>
      <c r="CV58" s="27"/>
      <c r="CW58" s="27"/>
      <c r="CX58" s="121"/>
      <c r="DA58" s="27"/>
      <c r="DB58" s="27"/>
      <c r="DC58" s="27"/>
      <c r="DD58" s="27"/>
      <c r="DE58" s="27"/>
      <c r="DF58" s="27"/>
      <c r="DG58" s="27"/>
      <c r="DH58" s="27"/>
      <c r="DI58" s="27"/>
      <c r="DJ58" s="27"/>
      <c r="DK58" s="27"/>
      <c r="DL58" s="27"/>
      <c r="DM58" s="27"/>
      <c r="DN58" s="27"/>
      <c r="DO58" s="27"/>
      <c r="DP58" s="27"/>
      <c r="DQ58" s="27"/>
      <c r="DR58" s="27"/>
      <c r="DS58" s="121"/>
    </row>
    <row r="59" spans="1:151" x14ac:dyDescent="0.2">
      <c r="CC59" s="121"/>
      <c r="CF59" s="27"/>
      <c r="CG59" s="27"/>
      <c r="CH59" s="27"/>
      <c r="CI59" s="27"/>
      <c r="CJ59" s="27"/>
      <c r="CK59" s="27"/>
      <c r="CL59" s="27"/>
      <c r="CM59" s="27"/>
      <c r="CN59" s="27"/>
      <c r="CO59" s="27"/>
      <c r="CP59" s="27"/>
      <c r="CQ59" s="27"/>
      <c r="CR59" s="27"/>
      <c r="CS59" s="27"/>
      <c r="CT59" s="27"/>
      <c r="CU59" s="27"/>
      <c r="CV59" s="27"/>
      <c r="CW59" s="27"/>
      <c r="CX59" s="121"/>
      <c r="DA59" s="27"/>
      <c r="DB59" s="27"/>
      <c r="DC59" s="27"/>
      <c r="DD59" s="27"/>
      <c r="DE59" s="27"/>
      <c r="DF59" s="27"/>
      <c r="DG59" s="27"/>
      <c r="DH59" s="27"/>
      <c r="DI59" s="27"/>
      <c r="DJ59" s="27"/>
      <c r="DK59" s="27"/>
      <c r="DL59" s="27"/>
      <c r="DM59" s="27"/>
      <c r="DN59" s="27"/>
      <c r="DO59" s="27"/>
      <c r="DP59" s="27"/>
      <c r="DQ59" s="27"/>
      <c r="DR59" s="27"/>
      <c r="DS59" s="121"/>
    </row>
    <row r="60" spans="1:151" x14ac:dyDescent="0.2">
      <c r="CC60" s="121"/>
      <c r="CF60" s="27"/>
      <c r="CG60" s="27"/>
      <c r="CH60" s="27"/>
      <c r="CI60" s="27"/>
      <c r="CJ60" s="27"/>
      <c r="CK60" s="27"/>
      <c r="CL60" s="27"/>
      <c r="CM60" s="27"/>
      <c r="CN60" s="27"/>
      <c r="CO60" s="27"/>
      <c r="CP60" s="27"/>
      <c r="CQ60" s="27"/>
      <c r="CR60" s="27"/>
      <c r="CS60" s="27"/>
      <c r="CT60" s="27"/>
      <c r="CU60" s="27"/>
      <c r="CV60" s="27"/>
      <c r="CW60" s="27"/>
      <c r="CX60" s="121"/>
      <c r="DA60" s="27"/>
      <c r="DB60" s="27"/>
      <c r="DC60" s="27"/>
      <c r="DD60" s="27"/>
      <c r="DE60" s="27"/>
      <c r="DF60" s="27"/>
      <c r="DG60" s="27"/>
      <c r="DH60" s="27"/>
      <c r="DI60" s="27"/>
      <c r="DJ60" s="27"/>
      <c r="DK60" s="27"/>
      <c r="DL60" s="27"/>
      <c r="DM60" s="27"/>
      <c r="DN60" s="27"/>
      <c r="DO60" s="27"/>
      <c r="DP60" s="27"/>
      <c r="DQ60" s="27"/>
      <c r="DR60" s="27"/>
      <c r="DS60" s="121"/>
    </row>
    <row r="61" spans="1:151" x14ac:dyDescent="0.2">
      <c r="CC61" s="121"/>
      <c r="CF61" s="27"/>
      <c r="CG61" s="27"/>
      <c r="CH61" s="27"/>
      <c r="CI61" s="27"/>
      <c r="CJ61" s="27"/>
      <c r="CK61" s="27"/>
      <c r="CL61" s="27"/>
      <c r="CM61" s="27"/>
      <c r="CN61" s="27"/>
      <c r="CO61" s="27"/>
      <c r="CP61" s="27"/>
      <c r="CQ61" s="27"/>
      <c r="CR61" s="27"/>
      <c r="CS61" s="27"/>
      <c r="CT61" s="27"/>
      <c r="CU61" s="27"/>
      <c r="CV61" s="27"/>
      <c r="CW61" s="27"/>
      <c r="CX61" s="121"/>
      <c r="DA61" s="27"/>
      <c r="DB61" s="27"/>
      <c r="DC61" s="27"/>
      <c r="DD61" s="27"/>
      <c r="DE61" s="27"/>
      <c r="DF61" s="27"/>
      <c r="DG61" s="27"/>
      <c r="DH61" s="27"/>
      <c r="DI61" s="27"/>
      <c r="DJ61" s="27"/>
      <c r="DK61" s="27"/>
      <c r="DL61" s="27"/>
      <c r="DM61" s="27"/>
      <c r="DN61" s="27"/>
      <c r="DO61" s="27"/>
      <c r="DP61" s="27"/>
      <c r="DQ61" s="27"/>
      <c r="DR61" s="27"/>
      <c r="DS61" s="121"/>
    </row>
    <row r="62" spans="1:151" x14ac:dyDescent="0.2">
      <c r="AL62" t="s">
        <v>93</v>
      </c>
      <c r="CC62" s="121"/>
      <c r="CF62" s="27"/>
      <c r="CG62" s="27"/>
      <c r="CH62" s="27"/>
      <c r="CI62" s="27"/>
      <c r="CJ62" s="27"/>
      <c r="CK62" s="27"/>
      <c r="CL62" s="27"/>
      <c r="CM62" s="27"/>
      <c r="CN62" s="27"/>
      <c r="CO62" s="27"/>
      <c r="CP62" s="27"/>
      <c r="CQ62" s="27"/>
      <c r="CR62" s="27"/>
      <c r="CS62" s="27"/>
      <c r="CT62" s="27"/>
      <c r="CU62" s="27"/>
      <c r="CV62" s="27"/>
      <c r="CW62" s="27"/>
      <c r="CX62" s="121"/>
      <c r="DA62" s="27"/>
      <c r="DB62" s="27"/>
      <c r="DC62" s="27"/>
      <c r="DD62" s="27"/>
      <c r="DE62" s="27"/>
      <c r="DF62" s="27"/>
      <c r="DG62" s="27"/>
      <c r="DH62" s="27"/>
      <c r="DI62" s="27"/>
      <c r="DJ62" s="27"/>
      <c r="DK62" s="27"/>
      <c r="DL62" s="27"/>
      <c r="DM62" s="27"/>
      <c r="DN62" s="27"/>
      <c r="DO62" s="27"/>
      <c r="DP62" s="27"/>
      <c r="DQ62" s="27"/>
      <c r="DR62" s="27"/>
      <c r="DS62" s="121"/>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E88E6-8ABE-4C5F-9320-B64B10090DFE}">
  <dimension ref="A1:EV76"/>
  <sheetViews>
    <sheetView zoomScale="62" zoomScaleNormal="90" workbookViewId="0">
      <selection activeCell="K55" sqref="K55"/>
    </sheetView>
  </sheetViews>
  <sheetFormatPr baseColWidth="10" defaultColWidth="8.83203125" defaultRowHeight="16" x14ac:dyDescent="0.2"/>
  <cols>
    <col min="2" max="6" width="9" bestFit="1" customWidth="1"/>
    <col min="10" max="10" width="38.33203125" customWidth="1"/>
    <col min="11" max="11" width="47.5" customWidth="1"/>
    <col min="12" max="12" width="48.1640625" customWidth="1"/>
    <col min="13" max="13" width="46.6640625" customWidth="1"/>
    <col min="14" max="14" width="29" customWidth="1"/>
    <col min="15" max="15" width="11.1640625" bestFit="1" customWidth="1"/>
    <col min="16" max="16" width="12.33203125" bestFit="1" customWidth="1"/>
    <col min="17" max="18" width="12.6640625" bestFit="1" customWidth="1"/>
    <col min="19" max="19" width="12.33203125" bestFit="1" customWidth="1"/>
    <col min="20" max="20" width="13.5" bestFit="1" customWidth="1"/>
    <col min="22" max="22" width="9" bestFit="1" customWidth="1"/>
    <col min="23" max="23" width="8.83203125" bestFit="1" customWidth="1"/>
    <col min="24" max="24" width="9.83203125" bestFit="1" customWidth="1"/>
    <col min="25" max="26" width="10.33203125" bestFit="1" customWidth="1"/>
    <col min="27" max="27" width="12.83203125" bestFit="1" customWidth="1"/>
    <col min="28" max="29" width="11.6640625" bestFit="1" customWidth="1"/>
    <col min="30" max="32" width="8.83203125" bestFit="1" customWidth="1"/>
    <col min="33" max="33" width="10.1640625" bestFit="1" customWidth="1"/>
    <col min="34" max="34" width="10.6640625" bestFit="1" customWidth="1"/>
    <col min="35" max="35" width="11.6640625" bestFit="1" customWidth="1"/>
    <col min="37" max="39" width="8.83203125" bestFit="1" customWidth="1"/>
    <col min="40" max="40" width="9.1640625" bestFit="1" customWidth="1"/>
    <col min="41" max="41" width="9.1640625" customWidth="1"/>
    <col min="42" max="42" width="10.1640625" bestFit="1" customWidth="1"/>
    <col min="43" max="43" width="8.83203125" bestFit="1" customWidth="1"/>
    <col min="44" max="44" width="10.1640625" bestFit="1" customWidth="1"/>
    <col min="45" max="45" width="9.6640625" bestFit="1" customWidth="1"/>
    <col min="46" max="46" width="9.6640625" customWidth="1"/>
    <col min="47" max="47" width="10.6640625" bestFit="1" customWidth="1"/>
    <col min="48" max="48" width="9.6640625" bestFit="1" customWidth="1"/>
    <col min="49" max="50" width="10.6640625" bestFit="1" customWidth="1"/>
    <col min="51" max="51" width="10.6640625" customWidth="1"/>
    <col min="52" max="52" width="10.6640625" bestFit="1" customWidth="1"/>
    <col min="53" max="53" width="9.6640625" bestFit="1" customWidth="1"/>
    <col min="54" max="54" width="10.6640625" bestFit="1" customWidth="1"/>
    <col min="56" max="58" width="8.83203125" bestFit="1" customWidth="1"/>
    <col min="59" max="60" width="9.1640625" bestFit="1" customWidth="1"/>
    <col min="61" max="61" width="8.83203125" bestFit="1" customWidth="1"/>
    <col min="62" max="64" width="9.6640625" bestFit="1" customWidth="1"/>
    <col min="65" max="65" width="10.6640625" bestFit="1" customWidth="1"/>
    <col min="127" max="132" width="8.83203125" style="177" bestFit="1" customWidth="1"/>
    <col min="133" max="133" width="8.83203125" style="177"/>
    <col min="134" max="134" width="14.5" style="177" customWidth="1"/>
    <col min="135" max="136" width="14.83203125" style="177" customWidth="1"/>
    <col min="137" max="137" width="8.83203125" style="177" bestFit="1" customWidth="1"/>
    <col min="138" max="138" width="23.1640625" style="177" customWidth="1"/>
    <col min="139" max="139" width="8.83203125" style="177" bestFit="1" customWidth="1"/>
    <col min="140" max="140" width="12.5" style="177" customWidth="1"/>
    <col min="141" max="141" width="8.83203125" style="177" bestFit="1" customWidth="1"/>
    <col min="142" max="142" width="14.5" style="177" customWidth="1"/>
    <col min="143" max="145" width="9.33203125" style="177" bestFit="1" customWidth="1"/>
    <col min="146" max="151" width="8.83203125" style="177" bestFit="1" customWidth="1"/>
  </cols>
  <sheetData>
    <row r="1" spans="1:152" ht="34" x14ac:dyDescent="0.4">
      <c r="A1" s="14" t="s">
        <v>46</v>
      </c>
      <c r="B1" s="11"/>
      <c r="C1" s="11"/>
      <c r="D1" s="11"/>
      <c r="E1" s="11"/>
      <c r="F1" s="11"/>
      <c r="G1" s="11" t="s">
        <v>22</v>
      </c>
      <c r="H1" s="31"/>
      <c r="I1" s="32"/>
      <c r="J1" s="12" t="s">
        <v>330</v>
      </c>
      <c r="K1" s="220"/>
      <c r="L1" s="220"/>
      <c r="M1" s="220"/>
      <c r="N1" s="11"/>
      <c r="O1" s="66" t="s">
        <v>133</v>
      </c>
      <c r="P1" s="11"/>
      <c r="Q1" s="43" t="s">
        <v>132</v>
      </c>
      <c r="R1" s="11"/>
      <c r="S1" s="11"/>
      <c r="T1" s="11"/>
      <c r="U1" s="11"/>
      <c r="V1" s="98" t="s">
        <v>181</v>
      </c>
      <c r="W1" s="99"/>
      <c r="X1" s="99" t="s">
        <v>189</v>
      </c>
      <c r="Y1" s="99"/>
      <c r="Z1" s="99"/>
      <c r="AA1" s="99"/>
      <c r="AB1" s="99"/>
      <c r="AC1" s="99"/>
      <c r="AD1" s="99" t="s">
        <v>188</v>
      </c>
      <c r="AE1" s="99"/>
      <c r="AF1" s="99"/>
      <c r="AG1" s="11"/>
      <c r="AH1" s="11"/>
      <c r="AI1" s="11"/>
      <c r="AJ1" s="11"/>
      <c r="AK1" s="65" t="s">
        <v>123</v>
      </c>
      <c r="AL1" s="11"/>
      <c r="AM1" s="11"/>
      <c r="AN1" s="11"/>
      <c r="AO1" s="11"/>
      <c r="AP1" s="11"/>
      <c r="AQ1" s="44"/>
      <c r="AR1" s="44"/>
      <c r="AS1" s="11"/>
      <c r="AT1" s="11"/>
      <c r="AU1" s="11"/>
      <c r="AV1" s="44"/>
      <c r="AW1" s="44"/>
      <c r="AX1" s="11"/>
      <c r="AY1" s="11"/>
      <c r="AZ1" s="11"/>
      <c r="BA1" s="44"/>
      <c r="BB1" s="44"/>
      <c r="BC1" s="11"/>
      <c r="BD1" s="61" t="s">
        <v>83</v>
      </c>
      <c r="BE1" s="11"/>
      <c r="BF1" s="11"/>
      <c r="BG1" s="11"/>
      <c r="BH1" s="11"/>
      <c r="BI1" s="11"/>
      <c r="BJ1" s="11"/>
      <c r="BK1" s="11"/>
      <c r="BL1" s="11"/>
      <c r="BM1" s="11"/>
      <c r="BN1" s="11"/>
      <c r="BO1" s="63"/>
      <c r="BP1" s="11"/>
      <c r="BQ1" s="43" t="s">
        <v>233</v>
      </c>
      <c r="BR1" s="11"/>
      <c r="BS1" s="11"/>
      <c r="BT1" s="11"/>
      <c r="BU1" s="11"/>
      <c r="BV1" s="11"/>
      <c r="BW1" s="11"/>
      <c r="BX1" s="11"/>
      <c r="BY1" s="11"/>
      <c r="BZ1" s="11"/>
      <c r="CA1" s="11"/>
      <c r="CB1" s="11"/>
      <c r="CC1" s="121"/>
      <c r="CD1" s="164" t="s">
        <v>291</v>
      </c>
      <c r="CE1" s="11"/>
      <c r="CF1" s="139"/>
      <c r="CG1" s="139"/>
      <c r="CH1" s="139"/>
      <c r="CI1" s="139"/>
      <c r="CJ1" s="139"/>
      <c r="CK1" s="139"/>
      <c r="CL1" s="139"/>
      <c r="CM1" s="139"/>
      <c r="CN1" s="139"/>
      <c r="CO1" s="139"/>
      <c r="CP1" s="139"/>
      <c r="CQ1" s="139"/>
      <c r="CR1" s="139"/>
      <c r="CS1" s="139"/>
      <c r="CT1" s="139"/>
      <c r="CU1" s="139"/>
      <c r="CV1" s="139"/>
      <c r="CW1" s="139"/>
      <c r="CX1" s="121"/>
      <c r="CY1" s="164" t="s">
        <v>329</v>
      </c>
      <c r="CZ1" s="164"/>
      <c r="DA1" s="139"/>
      <c r="DB1" s="139"/>
      <c r="DC1" s="139"/>
      <c r="DD1" s="139"/>
      <c r="DE1" s="139"/>
      <c r="DF1" s="139"/>
      <c r="DG1" s="139"/>
      <c r="DH1" s="139"/>
      <c r="DI1" s="139"/>
      <c r="DJ1" s="139"/>
      <c r="DK1" s="139"/>
      <c r="DL1" s="139"/>
      <c r="DM1" s="139"/>
      <c r="DN1" s="139"/>
      <c r="DO1" s="139"/>
      <c r="DP1" s="139"/>
      <c r="DQ1" s="139"/>
      <c r="DR1" s="139"/>
      <c r="DS1" s="121"/>
      <c r="DT1" s="120" t="s">
        <v>180</v>
      </c>
      <c r="DU1" s="11"/>
      <c r="DV1" s="11"/>
      <c r="DW1" s="201"/>
      <c r="DX1" s="175"/>
      <c r="DY1" s="202"/>
      <c r="DZ1" s="202"/>
      <c r="EA1" s="202"/>
      <c r="EB1" s="202"/>
      <c r="EC1" s="227"/>
      <c r="ED1" s="225" t="s">
        <v>313</v>
      </c>
      <c r="EE1" s="175"/>
      <c r="EF1" s="175"/>
      <c r="EG1" s="201"/>
      <c r="EH1" s="175"/>
      <c r="EI1" s="202"/>
      <c r="EJ1" s="202"/>
      <c r="EK1" s="202"/>
      <c r="EL1" s="216"/>
      <c r="EM1" s="225" t="s">
        <v>313</v>
      </c>
      <c r="EN1" s="175"/>
      <c r="EO1" s="175"/>
      <c r="EP1" s="201"/>
      <c r="EQ1" s="175"/>
      <c r="ER1" s="202"/>
      <c r="ES1" s="202"/>
      <c r="ET1" s="202"/>
      <c r="EU1" s="216"/>
    </row>
    <row r="2" spans="1:152" ht="19" x14ac:dyDescent="0.25">
      <c r="A2" s="26"/>
      <c r="H2" s="20"/>
      <c r="I2" s="21"/>
      <c r="J2" s="6" t="s">
        <v>334</v>
      </c>
      <c r="K2" s="221"/>
      <c r="L2" s="221"/>
      <c r="M2" s="221"/>
      <c r="N2" s="7"/>
      <c r="O2" s="7" t="s">
        <v>95</v>
      </c>
      <c r="P2" s="7" t="s">
        <v>96</v>
      </c>
      <c r="Q2" s="7" t="s">
        <v>97</v>
      </c>
      <c r="R2" s="7" t="s">
        <v>101</v>
      </c>
      <c r="S2" s="7" t="s">
        <v>96</v>
      </c>
      <c r="T2" s="7" t="s">
        <v>102</v>
      </c>
      <c r="U2" s="16"/>
      <c r="V2" s="102" t="s">
        <v>185</v>
      </c>
      <c r="W2" s="62"/>
      <c r="X2" s="62" t="s">
        <v>183</v>
      </c>
      <c r="Y2" s="62"/>
      <c r="Z2" s="62"/>
      <c r="AA2" s="62" t="s">
        <v>187</v>
      </c>
      <c r="AB2" s="62"/>
      <c r="AC2" s="62"/>
      <c r="AD2" s="62" t="s">
        <v>183</v>
      </c>
      <c r="AE2" s="62"/>
      <c r="AF2" s="62"/>
      <c r="AG2" s="62" t="s">
        <v>187</v>
      </c>
      <c r="AH2" s="62"/>
      <c r="AI2" s="62"/>
      <c r="AJ2" s="101"/>
      <c r="AK2" s="64" t="s">
        <v>86</v>
      </c>
      <c r="AL2" s="37"/>
      <c r="AM2" s="37"/>
      <c r="AN2" s="37" t="s">
        <v>107</v>
      </c>
      <c r="AO2" s="37" t="s">
        <v>107</v>
      </c>
      <c r="AP2" s="37" t="s">
        <v>107</v>
      </c>
      <c r="AQ2" s="37" t="s">
        <v>116</v>
      </c>
      <c r="AR2" s="37" t="s">
        <v>116</v>
      </c>
      <c r="AS2" s="37" t="s">
        <v>106</v>
      </c>
      <c r="AT2" s="37" t="s">
        <v>106</v>
      </c>
      <c r="AU2" s="37" t="s">
        <v>106</v>
      </c>
      <c r="AV2" s="37" t="s">
        <v>112</v>
      </c>
      <c r="AW2" s="37" t="s">
        <v>112</v>
      </c>
      <c r="AX2" s="37" t="s">
        <v>109</v>
      </c>
      <c r="AY2" s="37" t="s">
        <v>109</v>
      </c>
      <c r="AZ2" s="37" t="s">
        <v>109</v>
      </c>
      <c r="BA2" s="37" t="s">
        <v>113</v>
      </c>
      <c r="BB2" s="37" t="s">
        <v>113</v>
      </c>
      <c r="BC2" s="58"/>
      <c r="BD2" s="7" t="s">
        <v>232</v>
      </c>
      <c r="BE2" s="7"/>
      <c r="BF2" s="7"/>
      <c r="BG2" s="7" t="s">
        <v>118</v>
      </c>
      <c r="BH2" s="7"/>
      <c r="BI2" s="7"/>
      <c r="BJ2" s="49" t="s">
        <v>119</v>
      </c>
      <c r="BK2" s="7"/>
      <c r="BL2" s="7"/>
      <c r="BM2" s="6" t="s">
        <v>120</v>
      </c>
      <c r="BN2" s="7"/>
      <c r="BO2" s="62"/>
      <c r="BP2" s="114"/>
      <c r="BQ2" s="7" t="s">
        <v>231</v>
      </c>
      <c r="BR2" s="7"/>
      <c r="BS2" s="7"/>
      <c r="BT2" s="7" t="s">
        <v>118</v>
      </c>
      <c r="BU2" s="7"/>
      <c r="BV2" s="7"/>
      <c r="BW2" s="49" t="s">
        <v>119</v>
      </c>
      <c r="BX2" s="7"/>
      <c r="BY2" s="7"/>
      <c r="BZ2" s="6" t="s">
        <v>120</v>
      </c>
      <c r="CA2" s="7"/>
      <c r="CB2" s="62"/>
      <c r="CC2" s="122"/>
      <c r="CD2" s="154" t="s">
        <v>290</v>
      </c>
      <c r="CE2" s="165"/>
      <c r="CF2" s="168" t="s">
        <v>282</v>
      </c>
      <c r="CG2" s="168"/>
      <c r="CH2" s="168"/>
      <c r="CI2" s="168"/>
      <c r="CJ2" s="168"/>
      <c r="CK2" s="170"/>
      <c r="CL2" s="168" t="s">
        <v>285</v>
      </c>
      <c r="CM2" s="168"/>
      <c r="CN2" s="168"/>
      <c r="CO2" s="168"/>
      <c r="CP2" s="168"/>
      <c r="CQ2" s="170"/>
      <c r="CR2" s="168" t="s">
        <v>287</v>
      </c>
      <c r="CS2" s="168"/>
      <c r="CT2" s="168"/>
      <c r="CU2" s="168"/>
      <c r="CV2" s="168"/>
      <c r="CW2" s="168"/>
      <c r="CX2" s="122"/>
      <c r="CY2" s="168" t="s">
        <v>306</v>
      </c>
      <c r="CZ2" s="168"/>
      <c r="DA2" s="168" t="s">
        <v>311</v>
      </c>
      <c r="DB2" s="168"/>
      <c r="DC2" s="168"/>
      <c r="DD2" s="168"/>
      <c r="DE2" s="168"/>
      <c r="DF2" s="168"/>
      <c r="DG2" s="168"/>
      <c r="DH2" s="168"/>
      <c r="DI2" s="170"/>
      <c r="DJ2" s="168" t="s">
        <v>312</v>
      </c>
      <c r="DK2" s="168"/>
      <c r="DL2" s="168"/>
      <c r="DM2" s="168"/>
      <c r="DN2" s="168"/>
      <c r="DO2" s="168"/>
      <c r="DP2" s="168"/>
      <c r="DQ2" s="168"/>
      <c r="DR2" s="168"/>
      <c r="DS2" s="122"/>
      <c r="DT2" s="60" t="s">
        <v>105</v>
      </c>
      <c r="DU2" s="8"/>
      <c r="DV2" s="8"/>
      <c r="DW2" s="203" t="s">
        <v>104</v>
      </c>
      <c r="DX2" s="204"/>
      <c r="DY2" s="205"/>
      <c r="DZ2" s="206" t="s">
        <v>108</v>
      </c>
      <c r="EA2" s="207"/>
      <c r="EB2" s="207"/>
      <c r="EC2" s="228"/>
      <c r="ED2" s="226" t="s">
        <v>293</v>
      </c>
      <c r="EE2" s="204"/>
      <c r="EF2" s="204"/>
      <c r="EG2" s="203" t="s">
        <v>104</v>
      </c>
      <c r="EH2" s="204"/>
      <c r="EI2" s="205"/>
      <c r="EJ2" s="206" t="s">
        <v>108</v>
      </c>
      <c r="EK2" s="207"/>
      <c r="EL2" s="217"/>
      <c r="EM2" s="226" t="s">
        <v>293</v>
      </c>
      <c r="EN2" s="204"/>
      <c r="EO2" s="204"/>
      <c r="EP2" s="203" t="s">
        <v>104</v>
      </c>
      <c r="EQ2" s="204"/>
      <c r="ER2" s="205"/>
      <c r="ES2" s="206" t="s">
        <v>108</v>
      </c>
      <c r="ET2" s="207"/>
      <c r="EU2" s="217"/>
    </row>
    <row r="3" spans="1:152" x14ac:dyDescent="0.2">
      <c r="A3" s="15" t="s">
        <v>0</v>
      </c>
      <c r="B3" s="15" t="s">
        <v>9</v>
      </c>
      <c r="C3" s="15" t="s">
        <v>2</v>
      </c>
      <c r="D3" s="15" t="s">
        <v>1</v>
      </c>
      <c r="E3" s="15" t="s">
        <v>3</v>
      </c>
      <c r="F3" s="15" t="s">
        <v>6</v>
      </c>
      <c r="G3" s="15" t="s">
        <v>5</v>
      </c>
      <c r="H3" s="22"/>
      <c r="I3" s="23"/>
      <c r="J3" s="9" t="s">
        <v>74</v>
      </c>
      <c r="K3" s="222" t="s">
        <v>336</v>
      </c>
      <c r="L3" s="222" t="s">
        <v>129</v>
      </c>
      <c r="M3" s="222" t="s">
        <v>337</v>
      </c>
      <c r="N3" s="9" t="s">
        <v>1</v>
      </c>
      <c r="O3" s="10" t="s">
        <v>98</v>
      </c>
      <c r="P3" s="10" t="s">
        <v>76</v>
      </c>
      <c r="Q3" s="10" t="s">
        <v>99</v>
      </c>
      <c r="R3" s="10" t="s">
        <v>100</v>
      </c>
      <c r="S3" s="10" t="s">
        <v>100</v>
      </c>
      <c r="T3" s="10" t="s">
        <v>100</v>
      </c>
      <c r="U3" s="17"/>
      <c r="V3" s="103" t="s">
        <v>182</v>
      </c>
      <c r="W3" s="103" t="s">
        <v>184</v>
      </c>
      <c r="X3" s="100" t="s">
        <v>101</v>
      </c>
      <c r="Y3" s="100" t="s">
        <v>96</v>
      </c>
      <c r="Z3" s="100" t="s">
        <v>102</v>
      </c>
      <c r="AA3" s="100" t="s">
        <v>101</v>
      </c>
      <c r="AB3" s="100" t="s">
        <v>96</v>
      </c>
      <c r="AC3" s="100" t="s">
        <v>102</v>
      </c>
      <c r="AD3" s="100" t="s">
        <v>101</v>
      </c>
      <c r="AE3" s="100" t="s">
        <v>96</v>
      </c>
      <c r="AF3" s="100" t="s">
        <v>102</v>
      </c>
      <c r="AG3" s="100" t="s">
        <v>101</v>
      </c>
      <c r="AH3" s="100" t="s">
        <v>96</v>
      </c>
      <c r="AI3" s="100" t="s">
        <v>102</v>
      </c>
      <c r="AJ3" s="17"/>
      <c r="AK3" s="10" t="s">
        <v>85</v>
      </c>
      <c r="AL3" s="10" t="s">
        <v>89</v>
      </c>
      <c r="AM3" s="10" t="s">
        <v>90</v>
      </c>
      <c r="AN3" s="10" t="s">
        <v>352</v>
      </c>
      <c r="AO3" s="10" t="s">
        <v>357</v>
      </c>
      <c r="AP3" s="10" t="s">
        <v>110</v>
      </c>
      <c r="AQ3" s="10" t="s">
        <v>91</v>
      </c>
      <c r="AR3" s="10" t="s">
        <v>92</v>
      </c>
      <c r="AS3" s="10" t="s">
        <v>354</v>
      </c>
      <c r="AT3" s="10" t="s">
        <v>356</v>
      </c>
      <c r="AU3" s="10" t="s">
        <v>111</v>
      </c>
      <c r="AV3" s="10" t="s">
        <v>91</v>
      </c>
      <c r="AW3" s="10" t="s">
        <v>92</v>
      </c>
      <c r="AX3" s="10" t="s">
        <v>366</v>
      </c>
      <c r="AY3" s="10" t="s">
        <v>356</v>
      </c>
      <c r="AZ3" s="10" t="s">
        <v>111</v>
      </c>
      <c r="BA3" s="10" t="s">
        <v>114</v>
      </c>
      <c r="BB3" s="10" t="s">
        <v>115</v>
      </c>
      <c r="BC3" s="58"/>
      <c r="BD3" s="9" t="s">
        <v>77</v>
      </c>
      <c r="BE3" s="9" t="s">
        <v>78</v>
      </c>
      <c r="BF3" s="9" t="s">
        <v>79</v>
      </c>
      <c r="BG3" s="45" t="s">
        <v>117</v>
      </c>
      <c r="BH3" s="10" t="s">
        <v>121</v>
      </c>
      <c r="BI3" s="10" t="s">
        <v>122</v>
      </c>
      <c r="BJ3" s="45" t="s">
        <v>117</v>
      </c>
      <c r="BK3" s="10" t="s">
        <v>121</v>
      </c>
      <c r="BL3" s="10" t="s">
        <v>122</v>
      </c>
      <c r="BM3" s="46" t="s">
        <v>117</v>
      </c>
      <c r="BN3" s="10" t="s">
        <v>121</v>
      </c>
      <c r="BO3" s="10" t="s">
        <v>122</v>
      </c>
      <c r="BP3" s="115"/>
      <c r="BQ3" s="9" t="s">
        <v>77</v>
      </c>
      <c r="BR3" s="9" t="s">
        <v>78</v>
      </c>
      <c r="BS3" s="9" t="s">
        <v>79</v>
      </c>
      <c r="BT3" s="45" t="s">
        <v>117</v>
      </c>
      <c r="BU3" s="10" t="s">
        <v>121</v>
      </c>
      <c r="BV3" s="10" t="s">
        <v>122</v>
      </c>
      <c r="BW3" s="45" t="s">
        <v>117</v>
      </c>
      <c r="BX3" s="10" t="s">
        <v>121</v>
      </c>
      <c r="BY3" s="10" t="s">
        <v>122</v>
      </c>
      <c r="BZ3" s="46" t="s">
        <v>117</v>
      </c>
      <c r="CA3" s="10" t="s">
        <v>121</v>
      </c>
      <c r="CB3" s="10" t="s">
        <v>122</v>
      </c>
      <c r="CC3" s="123"/>
      <c r="CD3" s="9" t="s">
        <v>277</v>
      </c>
      <c r="CE3" s="166" t="s">
        <v>278</v>
      </c>
      <c r="CF3" s="168" t="s">
        <v>117</v>
      </c>
      <c r="CG3" s="168" t="s">
        <v>117</v>
      </c>
      <c r="CH3" s="168" t="s">
        <v>121</v>
      </c>
      <c r="CI3" s="168" t="s">
        <v>121</v>
      </c>
      <c r="CJ3" s="168" t="s">
        <v>122</v>
      </c>
      <c r="CK3" s="170" t="s">
        <v>122</v>
      </c>
      <c r="CL3" s="168" t="s">
        <v>117</v>
      </c>
      <c r="CM3" s="168" t="s">
        <v>117</v>
      </c>
      <c r="CN3" s="168" t="s">
        <v>121</v>
      </c>
      <c r="CO3" s="168" t="s">
        <v>121</v>
      </c>
      <c r="CP3" s="168" t="s">
        <v>122</v>
      </c>
      <c r="CQ3" s="170" t="s">
        <v>122</v>
      </c>
      <c r="CR3" s="168" t="s">
        <v>117</v>
      </c>
      <c r="CS3" s="168" t="s">
        <v>117</v>
      </c>
      <c r="CT3" s="168" t="s">
        <v>121</v>
      </c>
      <c r="CU3" s="168" t="s">
        <v>121</v>
      </c>
      <c r="CV3" s="168" t="s">
        <v>122</v>
      </c>
      <c r="CW3" s="168" t="s">
        <v>122</v>
      </c>
      <c r="CX3" s="123"/>
      <c r="CY3" s="9" t="s">
        <v>307</v>
      </c>
      <c r="CZ3" s="9" t="s">
        <v>308</v>
      </c>
      <c r="DA3" s="168" t="s">
        <v>105</v>
      </c>
      <c r="DB3" s="168"/>
      <c r="DC3" s="168"/>
      <c r="DD3" s="168" t="s">
        <v>104</v>
      </c>
      <c r="DE3" s="168"/>
      <c r="DF3" s="168"/>
      <c r="DG3" s="168" t="s">
        <v>108</v>
      </c>
      <c r="DH3" s="168"/>
      <c r="DI3" s="170"/>
      <c r="DJ3" s="168" t="s">
        <v>105</v>
      </c>
      <c r="DK3" s="168"/>
      <c r="DL3" s="168"/>
      <c r="DM3" s="168" t="s">
        <v>104</v>
      </c>
      <c r="DN3" s="168"/>
      <c r="DO3" s="168"/>
      <c r="DP3" s="168" t="s">
        <v>108</v>
      </c>
      <c r="DQ3" s="168"/>
      <c r="DR3" s="170"/>
      <c r="DS3" s="123"/>
      <c r="DT3" s="10" t="s">
        <v>80</v>
      </c>
      <c r="DU3" s="10" t="s">
        <v>81</v>
      </c>
      <c r="DV3" s="41" t="s">
        <v>82</v>
      </c>
      <c r="DW3" s="208" t="s">
        <v>80</v>
      </c>
      <c r="DX3" s="209" t="s">
        <v>81</v>
      </c>
      <c r="DY3" s="210" t="s">
        <v>82</v>
      </c>
      <c r="DZ3" s="208" t="s">
        <v>80</v>
      </c>
      <c r="EA3" s="209" t="s">
        <v>81</v>
      </c>
      <c r="EB3" s="210" t="s">
        <v>82</v>
      </c>
      <c r="EC3" s="229"/>
      <c r="ED3" s="209" t="s">
        <v>316</v>
      </c>
      <c r="EE3" s="209"/>
      <c r="EF3" s="210"/>
      <c r="EG3" s="208" t="s">
        <v>315</v>
      </c>
      <c r="EH3" s="209"/>
      <c r="EI3" s="210"/>
      <c r="EJ3" s="208" t="s">
        <v>315</v>
      </c>
      <c r="EK3" s="209"/>
      <c r="EL3" s="218"/>
      <c r="EM3" s="209" t="s">
        <v>317</v>
      </c>
      <c r="EN3" s="209"/>
      <c r="EO3" s="210"/>
      <c r="EP3" s="208" t="s">
        <v>314</v>
      </c>
      <c r="EQ3" s="209"/>
      <c r="ER3" s="210"/>
      <c r="ES3" s="208" t="s">
        <v>314</v>
      </c>
      <c r="ET3" s="209"/>
      <c r="EU3" s="218"/>
      <c r="EV3" s="1"/>
    </row>
    <row r="4" spans="1:152" ht="19" x14ac:dyDescent="0.25">
      <c r="A4" s="24" t="s">
        <v>75</v>
      </c>
      <c r="B4" s="25"/>
      <c r="C4" s="25"/>
      <c r="D4" s="25"/>
      <c r="E4" s="25"/>
      <c r="F4" s="25"/>
      <c r="G4" s="25"/>
      <c r="H4" s="22"/>
      <c r="I4" s="23"/>
      <c r="J4" s="9"/>
      <c r="K4" s="222" t="s">
        <v>128</v>
      </c>
      <c r="L4" s="222" t="s">
        <v>130</v>
      </c>
      <c r="M4" s="222" t="s">
        <v>130</v>
      </c>
      <c r="N4" s="9"/>
      <c r="O4" s="10"/>
      <c r="P4" s="10"/>
      <c r="Q4" s="10"/>
      <c r="R4" s="10"/>
      <c r="S4" s="10"/>
      <c r="T4" s="10"/>
      <c r="U4" s="17"/>
      <c r="V4" s="103" t="s">
        <v>186</v>
      </c>
      <c r="W4" s="103"/>
      <c r="X4" s="100"/>
      <c r="Y4" s="100"/>
      <c r="Z4" s="100"/>
      <c r="AA4" s="100"/>
      <c r="AB4" s="100"/>
      <c r="AC4" s="100"/>
      <c r="AD4" s="100"/>
      <c r="AE4" s="100"/>
      <c r="AF4" s="100"/>
      <c r="AG4" s="100"/>
      <c r="AH4" s="100"/>
      <c r="AI4" s="100"/>
      <c r="AJ4" s="17"/>
      <c r="AK4" s="10"/>
      <c r="AL4" s="10" t="s">
        <v>88</v>
      </c>
      <c r="AM4" s="10"/>
      <c r="AN4" s="10"/>
      <c r="AO4" s="10" t="s">
        <v>362</v>
      </c>
      <c r="AP4" s="10"/>
      <c r="AQ4" s="10"/>
      <c r="AR4" s="10"/>
      <c r="AS4" s="10"/>
      <c r="AT4" s="10"/>
      <c r="AU4" s="10"/>
      <c r="AV4" s="10"/>
      <c r="AW4" s="10"/>
      <c r="AX4" s="10"/>
      <c r="AY4" s="10"/>
      <c r="AZ4" s="10"/>
      <c r="BA4" s="10"/>
      <c r="BB4" s="10"/>
      <c r="BC4" s="17"/>
      <c r="BD4" s="9"/>
      <c r="BE4" s="9"/>
      <c r="BF4" s="9"/>
      <c r="BG4" s="46"/>
      <c r="BH4" s="10"/>
      <c r="BI4" s="10"/>
      <c r="BJ4" s="46"/>
      <c r="BK4" s="10"/>
      <c r="BL4" s="10"/>
      <c r="BM4" s="46"/>
      <c r="BN4" s="10"/>
      <c r="BO4" s="10"/>
      <c r="BP4" s="116"/>
      <c r="BQ4" s="124">
        <v>0.88480000000000003</v>
      </c>
      <c r="BR4" s="124">
        <v>0.94579999999999997</v>
      </c>
      <c r="BS4" s="124">
        <v>0.97699999999999998</v>
      </c>
      <c r="BT4" s="46"/>
      <c r="BU4" s="10"/>
      <c r="BV4" s="10"/>
      <c r="BW4" s="46"/>
      <c r="BX4" s="10"/>
      <c r="BY4" s="10"/>
      <c r="BZ4" s="46"/>
      <c r="CA4" s="10"/>
      <c r="CB4" s="10"/>
      <c r="CC4" s="123"/>
      <c r="CD4" s="124">
        <v>0.68</v>
      </c>
      <c r="CE4" s="167">
        <v>0.32</v>
      </c>
      <c r="CF4" s="168" t="s">
        <v>281</v>
      </c>
      <c r="CG4" s="168" t="s">
        <v>283</v>
      </c>
      <c r="CH4" s="168" t="s">
        <v>281</v>
      </c>
      <c r="CI4" s="168" t="s">
        <v>283</v>
      </c>
      <c r="CJ4" s="168" t="s">
        <v>281</v>
      </c>
      <c r="CK4" s="170" t="s">
        <v>283</v>
      </c>
      <c r="CL4" s="168" t="s">
        <v>281</v>
      </c>
      <c r="CM4" s="168" t="s">
        <v>283</v>
      </c>
      <c r="CN4" s="168" t="s">
        <v>281</v>
      </c>
      <c r="CO4" s="168" t="s">
        <v>283</v>
      </c>
      <c r="CP4" s="168" t="s">
        <v>281</v>
      </c>
      <c r="CQ4" s="170" t="s">
        <v>283</v>
      </c>
      <c r="CR4" s="168" t="s">
        <v>281</v>
      </c>
      <c r="CS4" s="168" t="s">
        <v>283</v>
      </c>
      <c r="CT4" s="168" t="s">
        <v>281</v>
      </c>
      <c r="CU4" s="168" t="s">
        <v>283</v>
      </c>
      <c r="CV4" s="168" t="s">
        <v>281</v>
      </c>
      <c r="CW4" s="168" t="s">
        <v>283</v>
      </c>
      <c r="CX4" s="123"/>
      <c r="CY4" s="124" t="s">
        <v>297</v>
      </c>
      <c r="CZ4" s="124" t="s">
        <v>310</v>
      </c>
      <c r="DA4" s="168" t="s">
        <v>117</v>
      </c>
      <c r="DB4" s="168" t="s">
        <v>121</v>
      </c>
      <c r="DC4" s="168" t="s">
        <v>122</v>
      </c>
      <c r="DD4" s="168" t="s">
        <v>117</v>
      </c>
      <c r="DE4" s="168" t="s">
        <v>121</v>
      </c>
      <c r="DF4" s="168" t="s">
        <v>122</v>
      </c>
      <c r="DG4" s="168" t="s">
        <v>117</v>
      </c>
      <c r="DH4" s="168" t="s">
        <v>121</v>
      </c>
      <c r="DI4" s="170" t="s">
        <v>122</v>
      </c>
      <c r="DJ4" s="168" t="s">
        <v>117</v>
      </c>
      <c r="DK4" s="168" t="s">
        <v>121</v>
      </c>
      <c r="DL4" s="168" t="s">
        <v>122</v>
      </c>
      <c r="DM4" s="168" t="s">
        <v>117</v>
      </c>
      <c r="DN4" s="168" t="s">
        <v>121</v>
      </c>
      <c r="DO4" s="168" t="s">
        <v>122</v>
      </c>
      <c r="DP4" s="168" t="s">
        <v>117</v>
      </c>
      <c r="DQ4" s="168" t="s">
        <v>121</v>
      </c>
      <c r="DR4" s="170" t="s">
        <v>122</v>
      </c>
      <c r="DS4" s="123"/>
      <c r="DT4" s="10"/>
      <c r="DU4" s="10"/>
      <c r="DV4" s="10"/>
      <c r="DW4" s="208"/>
      <c r="DX4" s="209"/>
      <c r="DY4" s="210"/>
      <c r="DZ4" s="230"/>
      <c r="EA4" s="210"/>
      <c r="EB4" s="210"/>
      <c r="EC4" s="229"/>
      <c r="ED4" s="209" t="s">
        <v>80</v>
      </c>
      <c r="EE4" s="209" t="s">
        <v>81</v>
      </c>
      <c r="EF4" s="210" t="s">
        <v>82</v>
      </c>
      <c r="EG4" s="208" t="s">
        <v>80</v>
      </c>
      <c r="EH4" s="209" t="s">
        <v>81</v>
      </c>
      <c r="EI4" s="210" t="s">
        <v>82</v>
      </c>
      <c r="EJ4" s="208" t="s">
        <v>80</v>
      </c>
      <c r="EK4" s="209" t="s">
        <v>81</v>
      </c>
      <c r="EL4" s="218" t="s">
        <v>82</v>
      </c>
      <c r="EM4" s="209" t="s">
        <v>80</v>
      </c>
      <c r="EN4" s="209" t="s">
        <v>81</v>
      </c>
      <c r="EO4" s="210" t="s">
        <v>82</v>
      </c>
      <c r="EP4" s="208" t="s">
        <v>80</v>
      </c>
      <c r="EQ4" s="209" t="s">
        <v>81</v>
      </c>
      <c r="ER4" s="210" t="s">
        <v>82</v>
      </c>
      <c r="ES4" s="208" t="s">
        <v>80</v>
      </c>
      <c r="ET4" s="209" t="s">
        <v>81</v>
      </c>
      <c r="EU4" s="218" t="s">
        <v>82</v>
      </c>
      <c r="EV4" s="1"/>
    </row>
    <row r="5" spans="1:152" x14ac:dyDescent="0.2">
      <c r="A5" s="3" t="s">
        <v>4</v>
      </c>
      <c r="B5">
        <v>1168</v>
      </c>
      <c r="C5">
        <v>23</v>
      </c>
      <c r="D5">
        <v>1.67</v>
      </c>
      <c r="E5">
        <v>0.13</v>
      </c>
      <c r="F5" t="s">
        <v>7</v>
      </c>
      <c r="G5" t="s">
        <v>124</v>
      </c>
      <c r="H5" s="20"/>
      <c r="I5" s="21"/>
      <c r="J5">
        <v>152</v>
      </c>
      <c r="K5" s="34">
        <f xml:space="preserve"> -0.012 * 6 * 110.16</f>
        <v>-7.9315200000000008</v>
      </c>
      <c r="L5" s="34">
        <f xml:space="preserve"> 0.161 * 6 * 110.16</f>
        <v>106.41455999999999</v>
      </c>
      <c r="M5" s="34">
        <f xml:space="preserve"> 0.334 * 6 * 110.16</f>
        <v>220.76064</v>
      </c>
      <c r="N5">
        <v>1.67</v>
      </c>
      <c r="O5" s="27">
        <f>$J5*$K5*$N5</f>
        <v>-2013.3370367999999</v>
      </c>
      <c r="P5" s="27">
        <f>J5*L5*N5</f>
        <v>27012.271910399999</v>
      </c>
      <c r="Q5" s="27">
        <f>$J5*$M5*$N5</f>
        <v>56037.880857599994</v>
      </c>
      <c r="R5" s="27">
        <f>$O5+$O6+$O7+$O8+$O9+$O10+$O11+$O12+$O13+$O14+$O15+$O16+$O17+$O18+$O19+$O20+$O21+$O22</f>
        <v>-40064.328345600006</v>
      </c>
      <c r="S5" s="27">
        <f>P5+P6+P7+P8+P9+P10+P11+P12+P13+P14+P15+P16+P17+P18+P19+P20+P21+P22</f>
        <v>537529.73863679986</v>
      </c>
      <c r="T5" s="27">
        <f>$Q5+$Q6+$Q7+$Q8+$Q9+$Q10+$Q11+$Q12+$Q13+$Q14+$Q15+$Q16+$Q17+$Q18+$Q19+$Q20+$Q21+$Q22</f>
        <v>1115123.8056191998</v>
      </c>
      <c r="U5" s="18"/>
      <c r="V5">
        <v>2.3999999999999998E-3</v>
      </c>
      <c r="W5">
        <v>0.99760000000000004</v>
      </c>
      <c r="X5" s="94">
        <f xml:space="preserve"> O5 * V5</f>
        <v>-4.832008888319999</v>
      </c>
      <c r="Y5" s="94">
        <f xml:space="preserve"> P5 * V5</f>
        <v>64.829452584959995</v>
      </c>
      <c r="Z5" s="94">
        <f xml:space="preserve"> Q5 * V5</f>
        <v>134.49091405823998</v>
      </c>
      <c r="AA5" s="94">
        <f xml:space="preserve"> O5 * W5</f>
        <v>-2008.5050279116799</v>
      </c>
      <c r="AB5" s="94">
        <f xml:space="preserve"> P5 * W5</f>
        <v>26947.442457815039</v>
      </c>
      <c r="AC5" s="94">
        <f xml:space="preserve"> Q5 * W5</f>
        <v>55903.389943541755</v>
      </c>
      <c r="AD5" s="27">
        <f xml:space="preserve"> R5 * V5</f>
        <v>-96.15438802944</v>
      </c>
      <c r="AE5" s="27">
        <f xml:space="preserve"> S5 * V5</f>
        <v>1290.0713727283196</v>
      </c>
      <c r="AF5" s="27">
        <f xml:space="preserve"> T5 * V5</f>
        <v>2676.297133486079</v>
      </c>
      <c r="AG5" s="27">
        <f xml:space="preserve"> R5 * W5</f>
        <v>-39968.173957570565</v>
      </c>
      <c r="AH5" s="27">
        <f xml:space="preserve"> S5 * W5</f>
        <v>536239.66726407153</v>
      </c>
      <c r="AI5" s="27">
        <f xml:space="preserve"> T5 * W5</f>
        <v>1112447.5084857137</v>
      </c>
      <c r="AJ5" s="18"/>
      <c r="AK5">
        <v>160</v>
      </c>
      <c r="AL5" s="34">
        <f>$AK5/8760</f>
        <v>1.8264840182648401E-2</v>
      </c>
      <c r="AM5" s="34">
        <f t="shared" ref="AM5:AM22" si="0">1- AL5</f>
        <v>0.9817351598173516</v>
      </c>
      <c r="AN5" s="94">
        <f>$AA5*$AL5</f>
        <v>-36.685023340852602</v>
      </c>
      <c r="AO5" s="94">
        <f xml:space="preserve"> AN5 / 2</f>
        <v>-18.342511670426301</v>
      </c>
      <c r="AP5" s="94">
        <f>$AA5*$AM5 + AO5</f>
        <v>-1990.1625162412536</v>
      </c>
      <c r="AQ5" s="27">
        <f xml:space="preserve"> SUM(AO5:AO22)</f>
        <v>-209.4124521686953</v>
      </c>
      <c r="AR5" s="27">
        <f xml:space="preserve"> SUM(AP5:AP22)</f>
        <v>-39758.761505401868</v>
      </c>
      <c r="AS5" s="94">
        <f>$AL5*$AB5</f>
        <v>492.1907298231057</v>
      </c>
      <c r="AT5" s="94">
        <f xml:space="preserve"> AS5 / 2</f>
        <v>246.09536491155285</v>
      </c>
      <c r="AU5" s="27">
        <f>$AM5*$AB5 + AT5</f>
        <v>26701.347092903488</v>
      </c>
      <c r="AV5" s="27">
        <f xml:space="preserve"> SUM(AT5:AT22)</f>
        <v>2809.6170665966611</v>
      </c>
      <c r="AW5" s="27">
        <f>$AU5+$AU6+$AU7+$AU8+$AU9+$AU10+$AU11+$AU12+$AU13+$AU14+$AU15+$AU16+$AU17+$AU18+$AU19+$AU20+$AU21+$AU22</f>
        <v>533430.05019747512</v>
      </c>
      <c r="AX5" s="94">
        <f>$AL5*$AC5</f>
        <v>1021.066482987064</v>
      </c>
      <c r="AY5" s="94">
        <f xml:space="preserve"> AX5 / 2</f>
        <v>510.53324149353199</v>
      </c>
      <c r="AZ5" s="27">
        <f>$AM5*$AC5 + AY5</f>
        <v>55392.856702048222</v>
      </c>
      <c r="BA5" s="27">
        <f>SUM(AY5:AY22)</f>
        <v>5828.6465853620166</v>
      </c>
      <c r="BB5" s="27">
        <f>$AZ5+$AZ6+$AZ7+$AZ8+$AZ9+$AZ10+$AZ11+$AZ12+$AZ13+$AZ14+$AZ15+$AZ16+$AZ17+$AZ18+$AZ19+$AZ20+$AZ21+$AZ22</f>
        <v>1106618.8619003519</v>
      </c>
      <c r="BC5" s="18"/>
      <c r="BD5" s="34">
        <v>0.1152</v>
      </c>
      <c r="BE5" s="34">
        <v>5.4199999999999998E-2</v>
      </c>
      <c r="BF5">
        <v>2.3E-2</v>
      </c>
      <c r="BG5" s="47">
        <f>$AR5*$BD5</f>
        <v>-4580.2093254222955</v>
      </c>
      <c r="BH5" s="27">
        <f>$AR5*$BE5</f>
        <v>-2154.9248735927813</v>
      </c>
      <c r="BI5" s="27">
        <f>$AR5*$BF5</f>
        <v>-914.45151462424292</v>
      </c>
      <c r="BJ5" s="47">
        <f>$AW5*$BD5</f>
        <v>61451.141782749131</v>
      </c>
      <c r="BK5" s="27">
        <f>$AW5*$BE5</f>
        <v>28911.908720703152</v>
      </c>
      <c r="BL5" s="27">
        <f>$AW5*$BF5</f>
        <v>12268.891154541927</v>
      </c>
      <c r="BM5" s="47">
        <f>$BB5*$BD5</f>
        <v>127482.49289092053</v>
      </c>
      <c r="BN5" s="27">
        <f>$BB5*$BE5</f>
        <v>59978.742314999072</v>
      </c>
      <c r="BO5" s="27">
        <f>$BB5*$BF5</f>
        <v>25452.233823708095</v>
      </c>
      <c r="BP5" s="117"/>
      <c r="BQ5" s="34">
        <f xml:space="preserve"> 1 - BD5</f>
        <v>0.88480000000000003</v>
      </c>
      <c r="BR5" s="34">
        <f xml:space="preserve"> 1 - BE5</f>
        <v>0.94579999999999997</v>
      </c>
      <c r="BS5">
        <f xml:space="preserve"> 1 - BF5</f>
        <v>0.97699999999999998</v>
      </c>
      <c r="BT5" s="47">
        <f xml:space="preserve"> AR5 * BQ5</f>
        <v>-35178.552179979575</v>
      </c>
      <c r="BU5" s="27">
        <f xml:space="preserve"> AR5 * BR5</f>
        <v>-37603.836631809085</v>
      </c>
      <c r="BV5" s="27">
        <f xml:space="preserve"> AR5 * BS5</f>
        <v>-38844.309990777627</v>
      </c>
      <c r="BW5" s="47">
        <f xml:space="preserve"> AW5 * BQ5</f>
        <v>471978.90841472603</v>
      </c>
      <c r="BX5" s="27">
        <f xml:space="preserve"> AW5 * BR5</f>
        <v>504518.14147677197</v>
      </c>
      <c r="BY5" s="27">
        <f xml:space="preserve"> AW5 * BS5</f>
        <v>521161.1590429332</v>
      </c>
      <c r="BZ5" s="47">
        <f xml:space="preserve"> BB5 * BQ5</f>
        <v>979136.36900943145</v>
      </c>
      <c r="CA5" s="27">
        <f xml:space="preserve"> BB5 * BR5</f>
        <v>1046640.1195853528</v>
      </c>
      <c r="CB5" s="27">
        <f xml:space="preserve"> BB5 * BS5</f>
        <v>1081166.6280766439</v>
      </c>
      <c r="CC5" s="121"/>
      <c r="CD5">
        <f xml:space="preserve"> 1 - 0.32</f>
        <v>0.67999999999999994</v>
      </c>
      <c r="CE5">
        <f>1-0.68</f>
        <v>0.31999999999999995</v>
      </c>
      <c r="CF5" s="27">
        <f xml:space="preserve"> BT5 * CD5</f>
        <v>-23921.41548238611</v>
      </c>
      <c r="CG5" s="27">
        <f xml:space="preserve"> BT5 * CE5</f>
        <v>-11257.136697593462</v>
      </c>
      <c r="CH5" s="27">
        <f xml:space="preserve"> BU5 * CD5</f>
        <v>-25570.608909630177</v>
      </c>
      <c r="CI5" s="27">
        <f xml:space="preserve"> BU5 * CE5</f>
        <v>-12033.227722178905</v>
      </c>
      <c r="CJ5" s="27">
        <f xml:space="preserve"> BV5 * CD5</f>
        <v>-26414.130793728782</v>
      </c>
      <c r="CK5" s="27">
        <f xml:space="preserve"> BV5 * CE5</f>
        <v>-12430.179197048839</v>
      </c>
      <c r="CL5" s="27">
        <f xml:space="preserve"> BW5 * CD5</f>
        <v>320945.65772201365</v>
      </c>
      <c r="CM5" s="27">
        <f xml:space="preserve"> BW5 * CE5</f>
        <v>151033.25069271232</v>
      </c>
      <c r="CN5" s="27">
        <f xml:space="preserve"> BX5 * CD5</f>
        <v>343072.33620420488</v>
      </c>
      <c r="CO5" s="27">
        <f xml:space="preserve"> BX5 * CE5</f>
        <v>161445.805272567</v>
      </c>
      <c r="CP5" s="27">
        <f xml:space="preserve"> BY5 * CD5</f>
        <v>354389.58814919455</v>
      </c>
      <c r="CQ5" s="27">
        <f xml:space="preserve"> BY5 * CE5</f>
        <v>166771.57089373859</v>
      </c>
      <c r="CR5" s="27">
        <f xml:space="preserve"> BZ5 * CD5</f>
        <v>665812.73092641332</v>
      </c>
      <c r="CS5" s="27">
        <f xml:space="preserve"> BZ5 * CE5</f>
        <v>313323.63808301801</v>
      </c>
      <c r="CT5" s="27">
        <f xml:space="preserve"> CA5 * CD5</f>
        <v>711715.28131803987</v>
      </c>
      <c r="CU5" s="27">
        <f xml:space="preserve"> CA5 * CE5</f>
        <v>334924.83826731285</v>
      </c>
      <c r="CV5" s="27">
        <f xml:space="preserve"> CB5 * CD5</f>
        <v>735193.30709211784</v>
      </c>
      <c r="CW5" s="27">
        <f xml:space="preserve"> CB5 * CE5</f>
        <v>345973.32098452601</v>
      </c>
      <c r="CX5" s="121"/>
      <c r="CY5">
        <f xml:space="preserve"> 1 - 0.01</f>
        <v>0.99</v>
      </c>
      <c r="CZ5">
        <v>0.73</v>
      </c>
      <c r="DA5" s="27">
        <f xml:space="preserve"> CF5 * CY5</f>
        <v>-23682.201327562248</v>
      </c>
      <c r="DB5" s="27">
        <f xml:space="preserve"> CH5 * CY5</f>
        <v>-25314.902820533876</v>
      </c>
      <c r="DC5" s="27">
        <f xml:space="preserve"> CJ5 * CY5</f>
        <v>-26149.989485791495</v>
      </c>
      <c r="DD5" s="27">
        <f xml:space="preserve"> CL5 * CY5</f>
        <v>317736.20114479354</v>
      </c>
      <c r="DE5" s="27">
        <f xml:space="preserve"> CN5 * CY5</f>
        <v>339641.61284216284</v>
      </c>
      <c r="DF5" s="27">
        <f xml:space="preserve"> CP5 * CY5</f>
        <v>350845.6922677026</v>
      </c>
      <c r="DG5" s="27">
        <f xml:space="preserve"> CR5 * CY5</f>
        <v>659154.60361714917</v>
      </c>
      <c r="DH5" s="27">
        <f xml:space="preserve"> CT5 * CY5</f>
        <v>704598.12850485952</v>
      </c>
      <c r="DI5" s="27">
        <f xml:space="preserve"> CV5 * CY5</f>
        <v>727841.37402119662</v>
      </c>
      <c r="DJ5" s="27">
        <f xml:space="preserve"> CF5 * CZ5</f>
        <v>-17462.633302141861</v>
      </c>
      <c r="DK5" s="27">
        <f xml:space="preserve"> CH5 * CZ5</f>
        <v>-18666.544504030029</v>
      </c>
      <c r="DL5" s="27">
        <f xml:space="preserve"> CJ5 * CZ5</f>
        <v>-19282.31547942201</v>
      </c>
      <c r="DM5" s="27">
        <f xml:space="preserve"> CL5 * CZ5</f>
        <v>234290.33013706995</v>
      </c>
      <c r="DN5" s="27">
        <f xml:space="preserve"> CN5 * CZ5</f>
        <v>250442.80542906956</v>
      </c>
      <c r="DO5" s="27">
        <f xml:space="preserve"> CP5 * CZ5</f>
        <v>258704.399348912</v>
      </c>
      <c r="DP5" s="27">
        <f xml:space="preserve"> CR5 * CZ5</f>
        <v>486043.29357628169</v>
      </c>
      <c r="DQ5" s="27">
        <f xml:space="preserve"> CT5 * CZ5</f>
        <v>519552.15536216908</v>
      </c>
      <c r="DR5" s="27">
        <f xml:space="preserve"> CV5 * CZ5</f>
        <v>536691.114177246</v>
      </c>
      <c r="DS5" s="121"/>
      <c r="DT5" s="27">
        <f>$BG5+$AQ5</f>
        <v>-4789.6217775909909</v>
      </c>
      <c r="DU5" s="27">
        <f>$BH5+$AQ5</f>
        <v>-2364.3373257614767</v>
      </c>
      <c r="DV5" s="27">
        <f>$BI5+$AQ5</f>
        <v>-1123.8639667929383</v>
      </c>
      <c r="DW5" s="211">
        <f>$BJ5+$AV5</f>
        <v>64260.758849345795</v>
      </c>
      <c r="DX5" s="177">
        <f>$BK5+$AV5</f>
        <v>31721.525787299812</v>
      </c>
      <c r="DY5" s="212">
        <f>$BL5+$AV5</f>
        <v>15078.508221138589</v>
      </c>
      <c r="DZ5" s="213">
        <f>$BA5+$BM5</f>
        <v>133311.13947628255</v>
      </c>
      <c r="EA5" s="212">
        <f>$BA5+$BN5</f>
        <v>65807.388900361082</v>
      </c>
      <c r="EB5" s="212">
        <f>$BA5+$BO5</f>
        <v>31280.880409070112</v>
      </c>
      <c r="EC5" s="227"/>
      <c r="ED5" s="177">
        <f xml:space="preserve"> DJ5 + DT5</f>
        <v>-22252.255079732851</v>
      </c>
      <c r="EE5" s="177">
        <f xml:space="preserve"> DK5 + DU5</f>
        <v>-21030.881829791506</v>
      </c>
      <c r="EF5" s="177">
        <f>DL5 + DV5</f>
        <v>-20406.179446214948</v>
      </c>
      <c r="EG5" s="211">
        <f t="shared" ref="EG5:EL5" si="1" xml:space="preserve"> DM5 + DW5</f>
        <v>298551.08898641577</v>
      </c>
      <c r="EH5" s="177">
        <f t="shared" si="1"/>
        <v>282164.33121636935</v>
      </c>
      <c r="EI5" s="212">
        <f t="shared" si="1"/>
        <v>273782.90757005056</v>
      </c>
      <c r="EJ5" s="213">
        <f t="shared" si="1"/>
        <v>619354.43305256427</v>
      </c>
      <c r="EK5" s="212">
        <f t="shared" si="1"/>
        <v>585359.54426253017</v>
      </c>
      <c r="EL5" s="219">
        <f t="shared" si="1"/>
        <v>567971.99458631605</v>
      </c>
      <c r="EM5" s="177">
        <f xml:space="preserve"> DT5 + DA5</f>
        <v>-28471.823105153238</v>
      </c>
      <c r="EN5" s="177">
        <f xml:space="preserve"> DB5 + DU5</f>
        <v>-27679.240146295353</v>
      </c>
      <c r="EO5" s="177">
        <f xml:space="preserve"> DV5 + DC5</f>
        <v>-27273.853452584433</v>
      </c>
      <c r="EP5" s="211">
        <f xml:space="preserve"> DD5 + DW5</f>
        <v>381996.95999413932</v>
      </c>
      <c r="EQ5" s="177">
        <f xml:space="preserve"> DE5 + DX5</f>
        <v>371363.13862946263</v>
      </c>
      <c r="ER5" s="212">
        <f xml:space="preserve"> DF5 + DY5</f>
        <v>365924.20048884116</v>
      </c>
      <c r="ES5" s="213">
        <f xml:space="preserve"> DG5 + DZ5</f>
        <v>792465.74309343169</v>
      </c>
      <c r="ET5" s="212">
        <f xml:space="preserve"> DH5 +EA5</f>
        <v>770405.51740522054</v>
      </c>
      <c r="EU5" s="219">
        <f xml:space="preserve"> DI5 + EB5</f>
        <v>759122.25443026668</v>
      </c>
    </row>
    <row r="6" spans="1:152" x14ac:dyDescent="0.2">
      <c r="A6" s="3" t="s">
        <v>8</v>
      </c>
      <c r="B6">
        <v>1128</v>
      </c>
      <c r="C6">
        <v>41</v>
      </c>
      <c r="D6">
        <v>2.71</v>
      </c>
      <c r="E6">
        <v>0.65</v>
      </c>
      <c r="F6" t="s">
        <v>13</v>
      </c>
      <c r="G6" t="s">
        <v>11</v>
      </c>
      <c r="H6" s="20"/>
      <c r="I6" s="21"/>
      <c r="J6">
        <v>798</v>
      </c>
      <c r="K6" s="34">
        <f t="shared" ref="K6:K22" si="2" xml:space="preserve"> -0.012 * 6 * 110.16</f>
        <v>-7.9315200000000008</v>
      </c>
      <c r="L6" s="34">
        <f xml:space="preserve"> 0.161 * 6 * 110.16</f>
        <v>106.41455999999999</v>
      </c>
      <c r="M6" s="34">
        <f t="shared" ref="M6:M22" si="3" xml:space="preserve"> 0.334 * 6 * 110.16</f>
        <v>220.76064</v>
      </c>
      <c r="N6">
        <v>0.65</v>
      </c>
      <c r="O6" s="27">
        <f t="shared" ref="O6:O22" si="4">$J6*$K6*$N6</f>
        <v>-4114.0794240000005</v>
      </c>
      <c r="P6" s="27">
        <f>J6*L6*N6</f>
        <v>55197.232271999994</v>
      </c>
      <c r="Q6" s="27">
        <f t="shared" ref="Q6:Q22" si="5">$J6*$M6*$N6</f>
        <v>114508.543968</v>
      </c>
      <c r="R6" s="27"/>
      <c r="S6" s="27"/>
      <c r="T6" s="27"/>
      <c r="U6" s="18"/>
      <c r="V6">
        <v>2.3999999999999998E-3</v>
      </c>
      <c r="W6">
        <v>0.99760000000000004</v>
      </c>
      <c r="X6" s="94">
        <f t="shared" ref="X6:X22" si="6" xml:space="preserve"> O6 * V6</f>
        <v>-9.873790617600001</v>
      </c>
      <c r="Y6" s="94">
        <f t="shared" ref="Y6:Y22" si="7" xml:space="preserve"> P6 * V6</f>
        <v>132.47335745279997</v>
      </c>
      <c r="Z6" s="94">
        <f t="shared" ref="Z6:Z22" si="8" xml:space="preserve"> Q6 * V6</f>
        <v>274.82050552319998</v>
      </c>
      <c r="AA6" s="94">
        <f t="shared" ref="AA6:AA22" si="9" xml:space="preserve"> O6 * W6</f>
        <v>-4104.2056333824003</v>
      </c>
      <c r="AB6" s="94">
        <f t="shared" ref="AB6:AB22" si="10" xml:space="preserve"> P6 * W6</f>
        <v>55064.758914547194</v>
      </c>
      <c r="AC6" s="94">
        <f t="shared" ref="AC6:AC22" si="11" xml:space="preserve"> Q6 * W6</f>
        <v>114233.7234624768</v>
      </c>
      <c r="AJ6" s="18"/>
      <c r="AK6">
        <v>0</v>
      </c>
      <c r="AL6" s="34">
        <f t="shared" ref="AL6:AL21" si="12">$AK6/8760</f>
        <v>0</v>
      </c>
      <c r="AM6" s="34">
        <f t="shared" si="0"/>
        <v>1</v>
      </c>
      <c r="AN6" s="94">
        <f t="shared" ref="AN6:AN22" si="13">$AA6*$AL6</f>
        <v>0</v>
      </c>
      <c r="AO6" s="94">
        <f t="shared" ref="AO6:AO22" si="14" xml:space="preserve"> AN6 / 2</f>
        <v>0</v>
      </c>
      <c r="AP6" s="94">
        <f t="shared" ref="AP6:AP22" si="15">$AA6*$AM6 + AO6</f>
        <v>-4104.2056333824003</v>
      </c>
      <c r="AQ6" s="27"/>
      <c r="AR6" s="27"/>
      <c r="AS6" s="94">
        <f t="shared" ref="AS6:AS22" si="16">$AL6*$AB6</f>
        <v>0</v>
      </c>
      <c r="AT6" s="94">
        <f t="shared" ref="AT6:AT22" si="17" xml:space="preserve"> AS6 / 2</f>
        <v>0</v>
      </c>
      <c r="AU6" s="27">
        <f t="shared" ref="AU6:AU22" si="18">$AM6*$AB6 + AT6</f>
        <v>55064.758914547194</v>
      </c>
      <c r="AV6" s="27"/>
      <c r="AW6" s="27"/>
      <c r="AX6" s="94">
        <f t="shared" ref="AX6:AX22" si="19">$AL6*$AC6</f>
        <v>0</v>
      </c>
      <c r="AY6" s="94">
        <f t="shared" ref="AY6:AY22" si="20" xml:space="preserve"> AX6 / 2</f>
        <v>0</v>
      </c>
      <c r="AZ6" s="27">
        <f t="shared" ref="AZ6:AZ22" si="21">$AM6*$AC6 + AY6</f>
        <v>114233.7234624768</v>
      </c>
      <c r="BA6" s="27"/>
      <c r="BB6" s="27"/>
      <c r="BC6" s="18"/>
      <c r="BG6" s="3"/>
      <c r="BJ6" s="3"/>
      <c r="BM6" s="3"/>
      <c r="BP6" s="117"/>
      <c r="BT6" s="3"/>
      <c r="BW6" s="3"/>
      <c r="BZ6" s="3"/>
      <c r="CC6" s="121"/>
      <c r="CF6" s="27"/>
      <c r="CG6" s="27"/>
      <c r="CH6" s="27"/>
      <c r="CI6" s="27"/>
      <c r="CJ6" s="27"/>
      <c r="CK6" s="27"/>
      <c r="CL6" s="27"/>
      <c r="CM6" s="27"/>
      <c r="CN6" s="27"/>
      <c r="CO6" s="27"/>
      <c r="CP6" s="27"/>
      <c r="CQ6" s="27"/>
      <c r="CR6" s="27"/>
      <c r="CS6" s="27"/>
      <c r="CT6" s="27"/>
      <c r="CU6" s="27"/>
      <c r="CV6" s="27"/>
      <c r="CW6" s="27"/>
      <c r="CX6" s="121"/>
      <c r="DA6" s="27"/>
      <c r="DB6" s="27"/>
      <c r="DC6" s="27"/>
      <c r="DD6" s="27"/>
      <c r="DE6" s="27"/>
      <c r="DF6" s="27"/>
      <c r="DG6" s="27"/>
      <c r="DH6" s="27"/>
      <c r="DI6" s="27"/>
      <c r="DJ6" s="27"/>
      <c r="DK6" s="27"/>
      <c r="DL6" s="27"/>
      <c r="DM6" s="27"/>
      <c r="DN6" s="27"/>
      <c r="DO6" s="27"/>
      <c r="DP6" s="27"/>
      <c r="DQ6" s="27"/>
      <c r="DR6" s="27"/>
      <c r="DS6" s="121"/>
      <c r="DW6" s="211"/>
      <c r="DY6" s="212"/>
      <c r="DZ6" s="213"/>
      <c r="EA6" s="212"/>
      <c r="EB6" s="212"/>
      <c r="EC6" s="227"/>
      <c r="EG6" s="211"/>
      <c r="EI6" s="212"/>
      <c r="EJ6" s="213"/>
      <c r="EK6" s="212"/>
      <c r="EL6" s="219"/>
      <c r="EP6" s="211"/>
      <c r="ER6" s="212"/>
      <c r="ES6" s="213"/>
      <c r="ET6" s="212"/>
      <c r="EU6" s="219"/>
    </row>
    <row r="7" spans="1:152" x14ac:dyDescent="0.2">
      <c r="A7" s="3" t="s">
        <v>10</v>
      </c>
      <c r="B7">
        <v>1869</v>
      </c>
      <c r="C7">
        <v>704</v>
      </c>
      <c r="D7">
        <v>2.25</v>
      </c>
      <c r="F7" t="s">
        <v>14</v>
      </c>
      <c r="G7" t="s">
        <v>125</v>
      </c>
      <c r="H7" s="20"/>
      <c r="I7" s="21"/>
      <c r="J7">
        <v>704</v>
      </c>
      <c r="K7" s="34">
        <f t="shared" si="2"/>
        <v>-7.9315200000000008</v>
      </c>
      <c r="L7" s="34">
        <f t="shared" ref="L7:L22" si="22" xml:space="preserve"> 0.161 * 6 * 110.16</f>
        <v>106.41455999999999</v>
      </c>
      <c r="M7" s="34">
        <f t="shared" si="3"/>
        <v>220.76064</v>
      </c>
      <c r="N7">
        <v>2.25</v>
      </c>
      <c r="O7" s="27">
        <f t="shared" si="4"/>
        <v>-12563.527680000001</v>
      </c>
      <c r="P7" s="27">
        <f t="shared" ref="P7:P22" si="23">J7*L7*N7</f>
        <v>168560.66304000001</v>
      </c>
      <c r="Q7" s="27">
        <f t="shared" si="5"/>
        <v>349684.85376000003</v>
      </c>
      <c r="R7" s="27"/>
      <c r="S7" s="27"/>
      <c r="T7" s="27"/>
      <c r="U7" s="18"/>
      <c r="V7">
        <v>2.3999999999999998E-3</v>
      </c>
      <c r="W7">
        <v>0.99760000000000004</v>
      </c>
      <c r="X7" s="94">
        <f t="shared" si="6"/>
        <v>-30.152466432000001</v>
      </c>
      <c r="Y7" s="94">
        <f t="shared" si="7"/>
        <v>404.545591296</v>
      </c>
      <c r="Z7" s="94">
        <f t="shared" si="8"/>
        <v>839.24364902399998</v>
      </c>
      <c r="AA7" s="94">
        <f t="shared" si="9"/>
        <v>-12533.375213568002</v>
      </c>
      <c r="AB7" s="94">
        <f t="shared" si="10"/>
        <v>168156.11744870403</v>
      </c>
      <c r="AC7" s="94">
        <f t="shared" si="11"/>
        <v>348845.61011097603</v>
      </c>
      <c r="AJ7" s="18"/>
      <c r="AK7">
        <v>4</v>
      </c>
      <c r="AL7" s="34">
        <f t="shared" si="12"/>
        <v>4.5662100456621003E-4</v>
      </c>
      <c r="AM7" s="34">
        <f t="shared" si="0"/>
        <v>0.99954337899543377</v>
      </c>
      <c r="AN7" s="94">
        <f t="shared" si="13"/>
        <v>-5.7230023806246582</v>
      </c>
      <c r="AO7" s="94">
        <f t="shared" si="14"/>
        <v>-2.8615011903123291</v>
      </c>
      <c r="AP7" s="94">
        <f t="shared" si="15"/>
        <v>-12530.513712377691</v>
      </c>
      <c r="AQ7" s="27"/>
      <c r="AR7" s="27"/>
      <c r="AS7" s="94">
        <f t="shared" si="16"/>
        <v>76.783615273380832</v>
      </c>
      <c r="AT7" s="94">
        <f t="shared" si="17"/>
        <v>38.391807636690416</v>
      </c>
      <c r="AU7" s="27">
        <f t="shared" si="18"/>
        <v>168117.72564106731</v>
      </c>
      <c r="AV7" s="27"/>
      <c r="AW7" s="27"/>
      <c r="AX7" s="94">
        <f t="shared" si="19"/>
        <v>159.29023292738631</v>
      </c>
      <c r="AY7" s="94">
        <f t="shared" si="20"/>
        <v>79.645116463693157</v>
      </c>
      <c r="AZ7" s="27">
        <f t="shared" si="21"/>
        <v>348765.96499451238</v>
      </c>
      <c r="BA7" s="27"/>
      <c r="BB7" s="27"/>
      <c r="BC7" s="18"/>
      <c r="BG7" s="3"/>
      <c r="BJ7" s="3"/>
      <c r="BM7" s="3"/>
      <c r="BP7" s="117"/>
      <c r="BT7" s="3"/>
      <c r="BW7" s="3"/>
      <c r="BZ7" s="3"/>
      <c r="CC7" s="121"/>
      <c r="CF7" s="27"/>
      <c r="CG7" s="27"/>
      <c r="CH7" s="27"/>
      <c r="CI7" s="27"/>
      <c r="CJ7" s="27"/>
      <c r="CK7" s="27"/>
      <c r="CL7" s="27"/>
      <c r="CM7" s="27"/>
      <c r="CN7" s="27"/>
      <c r="CO7" s="27"/>
      <c r="CP7" s="27"/>
      <c r="CQ7" s="27"/>
      <c r="CR7" s="27"/>
      <c r="CS7" s="27"/>
      <c r="CT7" s="27"/>
      <c r="CU7" s="27"/>
      <c r="CV7" s="27"/>
      <c r="CW7" s="27"/>
      <c r="CX7" s="121"/>
      <c r="DA7" s="27"/>
      <c r="DB7" s="27"/>
      <c r="DC7" s="27"/>
      <c r="DD7" s="27"/>
      <c r="DE7" s="27"/>
      <c r="DF7" s="27"/>
      <c r="DG7" s="27"/>
      <c r="DH7" s="27"/>
      <c r="DI7" s="27"/>
      <c r="DJ7" s="27"/>
      <c r="DK7" s="27"/>
      <c r="DL7" s="27"/>
      <c r="DM7" s="27"/>
      <c r="DN7" s="27"/>
      <c r="DO7" s="27"/>
      <c r="DP7" s="27"/>
      <c r="DQ7" s="27"/>
      <c r="DR7" s="27"/>
      <c r="DS7" s="121"/>
      <c r="DW7" s="211"/>
      <c r="DY7" s="212"/>
      <c r="DZ7" s="213"/>
      <c r="EA7" s="212"/>
      <c r="EB7" s="212"/>
      <c r="EC7" s="227"/>
      <c r="EG7" s="211"/>
      <c r="EI7" s="212"/>
      <c r="EJ7" s="213"/>
      <c r="EK7" s="212"/>
      <c r="EL7" s="219"/>
      <c r="EP7" s="211"/>
      <c r="ER7" s="212"/>
      <c r="ES7" s="213"/>
      <c r="ET7" s="212"/>
      <c r="EU7" s="219"/>
    </row>
    <row r="8" spans="1:152" x14ac:dyDescent="0.2">
      <c r="A8" s="3" t="s">
        <v>12</v>
      </c>
      <c r="B8">
        <v>1239</v>
      </c>
      <c r="C8">
        <v>1221</v>
      </c>
      <c r="D8">
        <v>0.17</v>
      </c>
      <c r="F8" t="s">
        <v>15</v>
      </c>
      <c r="G8" t="s">
        <v>126</v>
      </c>
      <c r="H8" s="20"/>
      <c r="I8" s="21"/>
      <c r="J8">
        <v>211</v>
      </c>
      <c r="K8" s="34">
        <f t="shared" si="2"/>
        <v>-7.9315200000000008</v>
      </c>
      <c r="L8" s="34">
        <f t="shared" si="22"/>
        <v>106.41455999999999</v>
      </c>
      <c r="M8" s="34">
        <f t="shared" si="3"/>
        <v>220.76064</v>
      </c>
      <c r="N8">
        <v>0.17</v>
      </c>
      <c r="O8" s="27">
        <f t="shared" si="4"/>
        <v>-284.50362240000004</v>
      </c>
      <c r="P8" s="27">
        <f t="shared" si="23"/>
        <v>3817.0902671999997</v>
      </c>
      <c r="Q8" s="27">
        <f t="shared" si="5"/>
        <v>7918.6841568000009</v>
      </c>
      <c r="R8" s="27"/>
      <c r="S8" s="27"/>
      <c r="T8" s="27"/>
      <c r="U8" s="18"/>
      <c r="V8">
        <v>2.3999999999999998E-3</v>
      </c>
      <c r="W8">
        <v>0.99760000000000004</v>
      </c>
      <c r="X8" s="94">
        <f t="shared" si="6"/>
        <v>-0.68280869376000008</v>
      </c>
      <c r="Y8" s="94">
        <f t="shared" si="7"/>
        <v>9.161016641279998</v>
      </c>
      <c r="Z8" s="94">
        <f t="shared" si="8"/>
        <v>19.004841976320002</v>
      </c>
      <c r="AA8" s="94">
        <f t="shared" si="9"/>
        <v>-283.82081370624007</v>
      </c>
      <c r="AB8" s="94">
        <f t="shared" si="10"/>
        <v>3807.92925055872</v>
      </c>
      <c r="AC8" s="94">
        <f t="shared" si="11"/>
        <v>7899.6793148236811</v>
      </c>
      <c r="AJ8" s="18"/>
      <c r="AK8">
        <v>266</v>
      </c>
      <c r="AL8" s="34">
        <f t="shared" si="12"/>
        <v>3.0365296803652967E-2</v>
      </c>
      <c r="AM8" s="34">
        <f t="shared" si="0"/>
        <v>0.96963470319634704</v>
      </c>
      <c r="AN8" s="94">
        <f t="shared" si="13"/>
        <v>-8.6183032472442758</v>
      </c>
      <c r="AO8" s="94">
        <f t="shared" si="14"/>
        <v>-4.3091516236221379</v>
      </c>
      <c r="AP8" s="94">
        <f t="shared" si="15"/>
        <v>-279.51166208261793</v>
      </c>
      <c r="AQ8" s="27"/>
      <c r="AR8" s="27"/>
      <c r="AS8" s="94">
        <f t="shared" si="16"/>
        <v>115.62890190052734</v>
      </c>
      <c r="AT8" s="94">
        <f t="shared" si="17"/>
        <v>57.814450950263669</v>
      </c>
      <c r="AU8" s="27">
        <f t="shared" si="18"/>
        <v>3750.1147996084565</v>
      </c>
      <c r="AV8" s="27"/>
      <c r="AW8" s="27"/>
      <c r="AX8" s="94">
        <f t="shared" si="19"/>
        <v>239.87610704829899</v>
      </c>
      <c r="AY8" s="94">
        <f t="shared" si="20"/>
        <v>119.9380535241495</v>
      </c>
      <c r="AZ8" s="27">
        <f t="shared" si="21"/>
        <v>7779.7412612995322</v>
      </c>
      <c r="BA8" s="27"/>
      <c r="BB8" s="27"/>
      <c r="BC8" s="18"/>
      <c r="BG8" s="3"/>
      <c r="BJ8" s="3"/>
      <c r="BM8" s="3"/>
      <c r="BP8" s="117"/>
      <c r="BT8" s="3"/>
      <c r="BW8" s="3"/>
      <c r="BZ8" s="3"/>
      <c r="CC8" s="121"/>
      <c r="CF8" s="27"/>
      <c r="CG8" s="27"/>
      <c r="CH8" s="27"/>
      <c r="CI8" s="27"/>
      <c r="CJ8" s="27"/>
      <c r="CK8" s="27"/>
      <c r="CL8" s="27"/>
      <c r="CM8" s="27"/>
      <c r="CN8" s="27"/>
      <c r="CO8" s="27"/>
      <c r="CP8" s="27"/>
      <c r="CQ8" s="27"/>
      <c r="CR8" s="27"/>
      <c r="CS8" s="27"/>
      <c r="CT8" s="27"/>
      <c r="CU8" s="27"/>
      <c r="CV8" s="27"/>
      <c r="CW8" s="27"/>
      <c r="CX8" s="121"/>
      <c r="DA8" s="27"/>
      <c r="DB8" s="27"/>
      <c r="DC8" s="27"/>
      <c r="DD8" s="27"/>
      <c r="DE8" s="27"/>
      <c r="DF8" s="27"/>
      <c r="DG8" s="27"/>
      <c r="DH8" s="27"/>
      <c r="DI8" s="27"/>
      <c r="DJ8" s="27"/>
      <c r="DK8" s="27"/>
      <c r="DL8" s="27"/>
      <c r="DM8" s="27"/>
      <c r="DN8" s="27"/>
      <c r="DO8" s="27"/>
      <c r="DP8" s="27"/>
      <c r="DQ8" s="27"/>
      <c r="DR8" s="27"/>
      <c r="DS8" s="121"/>
      <c r="DW8" s="211"/>
      <c r="DY8" s="212"/>
      <c r="DZ8" s="213"/>
      <c r="EA8" s="212"/>
      <c r="EB8" s="212"/>
      <c r="EC8" s="227"/>
      <c r="EG8" s="211"/>
      <c r="EI8" s="212"/>
      <c r="EJ8" s="213"/>
      <c r="EK8" s="212"/>
      <c r="EL8" s="219"/>
      <c r="EP8" s="211"/>
      <c r="ER8" s="212"/>
      <c r="ES8" s="213"/>
      <c r="ET8" s="212"/>
      <c r="EU8" s="219"/>
    </row>
    <row r="9" spans="1:152" x14ac:dyDescent="0.2">
      <c r="A9" s="3" t="s">
        <v>17</v>
      </c>
      <c r="B9">
        <v>1700.5</v>
      </c>
      <c r="C9">
        <v>744</v>
      </c>
      <c r="D9">
        <v>0.74</v>
      </c>
      <c r="F9" t="s">
        <v>18</v>
      </c>
      <c r="G9" t="s">
        <v>126</v>
      </c>
      <c r="H9" s="20"/>
      <c r="I9" s="21"/>
      <c r="J9">
        <v>1258</v>
      </c>
      <c r="K9" s="34">
        <f t="shared" si="2"/>
        <v>-7.9315200000000008</v>
      </c>
      <c r="L9" s="34">
        <f t="shared" si="22"/>
        <v>106.41455999999999</v>
      </c>
      <c r="M9" s="34">
        <f t="shared" si="3"/>
        <v>220.76064</v>
      </c>
      <c r="N9">
        <v>0.74</v>
      </c>
      <c r="O9" s="27">
        <f t="shared" si="4"/>
        <v>-7383.6105984000005</v>
      </c>
      <c r="P9" s="27">
        <f t="shared" si="23"/>
        <v>99063.442195199998</v>
      </c>
      <c r="Q9" s="27">
        <f t="shared" si="5"/>
        <v>205510.4949888</v>
      </c>
      <c r="R9" s="27"/>
      <c r="S9" s="27"/>
      <c r="T9" s="27"/>
      <c r="U9" s="18"/>
      <c r="V9">
        <v>2.3999999999999998E-3</v>
      </c>
      <c r="W9">
        <v>0.99760000000000004</v>
      </c>
      <c r="X9" s="94">
        <f t="shared" si="6"/>
        <v>-17.720665436160001</v>
      </c>
      <c r="Y9" s="94">
        <f t="shared" si="7"/>
        <v>237.75226126847997</v>
      </c>
      <c r="Z9" s="94">
        <f t="shared" si="8"/>
        <v>493.22518797311994</v>
      </c>
      <c r="AA9" s="94">
        <f t="shared" si="9"/>
        <v>-7365.8899329638407</v>
      </c>
      <c r="AB9" s="94">
        <f t="shared" si="10"/>
        <v>98825.689933931528</v>
      </c>
      <c r="AC9" s="94">
        <f t="shared" si="11"/>
        <v>205017.26980082688</v>
      </c>
      <c r="AJ9" s="18"/>
      <c r="AK9">
        <v>80</v>
      </c>
      <c r="AL9" s="34">
        <f t="shared" si="12"/>
        <v>9.1324200913242004E-3</v>
      </c>
      <c r="AM9" s="34">
        <f t="shared" si="0"/>
        <v>0.9908675799086758</v>
      </c>
      <c r="AN9" s="94">
        <f t="shared" si="13"/>
        <v>-67.268401214281653</v>
      </c>
      <c r="AO9" s="94">
        <f t="shared" si="14"/>
        <v>-33.634200607140826</v>
      </c>
      <c r="AP9" s="94">
        <f t="shared" si="15"/>
        <v>-7332.2557323566998</v>
      </c>
      <c r="AQ9" s="27"/>
      <c r="AR9" s="27"/>
      <c r="AS9" s="94">
        <f t="shared" si="16"/>
        <v>902.51771629161203</v>
      </c>
      <c r="AT9" s="94">
        <f t="shared" si="17"/>
        <v>451.25885814580602</v>
      </c>
      <c r="AU9" s="27">
        <f t="shared" si="18"/>
        <v>98374.431075785731</v>
      </c>
      <c r="AV9" s="27"/>
      <c r="AW9" s="27"/>
      <c r="AX9" s="94">
        <f t="shared" si="19"/>
        <v>1872.3038337975056</v>
      </c>
      <c r="AY9" s="94">
        <f t="shared" si="20"/>
        <v>936.1519168987528</v>
      </c>
      <c r="AZ9" s="27">
        <f t="shared" si="21"/>
        <v>204081.11788392812</v>
      </c>
      <c r="BA9" s="27"/>
      <c r="BB9" s="27"/>
      <c r="BC9" s="18"/>
      <c r="BG9" s="3"/>
      <c r="BJ9" s="3"/>
      <c r="BM9" s="3"/>
      <c r="BP9" s="117"/>
      <c r="BT9" s="3"/>
      <c r="BW9" s="3"/>
      <c r="BZ9" s="3"/>
      <c r="CC9" s="121"/>
      <c r="CF9" s="27"/>
      <c r="CG9" s="27"/>
      <c r="CH9" s="27"/>
      <c r="CI9" s="27"/>
      <c r="CJ9" s="27"/>
      <c r="CK9" s="27"/>
      <c r="CL9" s="27"/>
      <c r="CM9" s="27"/>
      <c r="CN9" s="27"/>
      <c r="CO9" s="27"/>
      <c r="CP9" s="27"/>
      <c r="CQ9" s="27"/>
      <c r="CR9" s="27"/>
      <c r="CS9" s="27"/>
      <c r="CT9" s="27"/>
      <c r="CU9" s="27"/>
      <c r="CV9" s="27"/>
      <c r="CW9" s="27"/>
      <c r="CX9" s="121"/>
      <c r="DA9" s="27"/>
      <c r="DB9" s="27"/>
      <c r="DC9" s="27"/>
      <c r="DD9" s="27"/>
      <c r="DE9" s="27"/>
      <c r="DF9" s="27"/>
      <c r="DG9" s="27"/>
      <c r="DH9" s="27"/>
      <c r="DI9" s="27"/>
      <c r="DJ9" s="27"/>
      <c r="DK9" s="27"/>
      <c r="DL9" s="27"/>
      <c r="DM9" s="27"/>
      <c r="DN9" s="27"/>
      <c r="DO9" s="27"/>
      <c r="DP9" s="27"/>
      <c r="DQ9" s="27"/>
      <c r="DR9" s="27"/>
      <c r="DS9" s="121"/>
      <c r="DW9" s="211"/>
      <c r="DY9" s="212"/>
      <c r="DZ9" s="213"/>
      <c r="EA9" s="212"/>
      <c r="EB9" s="212"/>
      <c r="EC9" s="227"/>
      <c r="EG9" s="211"/>
      <c r="EI9" s="212"/>
      <c r="EJ9" s="213"/>
      <c r="EK9" s="212"/>
      <c r="EL9" s="219"/>
      <c r="EP9" s="211"/>
      <c r="ER9" s="212"/>
      <c r="ES9" s="213"/>
      <c r="ET9" s="212"/>
      <c r="EU9" s="219"/>
    </row>
    <row r="10" spans="1:152" x14ac:dyDescent="0.2">
      <c r="A10" s="3" t="s">
        <v>19</v>
      </c>
      <c r="B10">
        <v>1688</v>
      </c>
      <c r="C10">
        <v>152.5</v>
      </c>
      <c r="D10">
        <v>1.29</v>
      </c>
      <c r="E10">
        <v>0.35299999999999998</v>
      </c>
      <c r="F10" t="s">
        <v>25</v>
      </c>
      <c r="G10" t="s">
        <v>124</v>
      </c>
      <c r="H10" s="20"/>
      <c r="I10" s="21"/>
      <c r="J10">
        <v>596</v>
      </c>
      <c r="K10" s="34">
        <f t="shared" si="2"/>
        <v>-7.9315200000000008</v>
      </c>
      <c r="L10" s="34">
        <f t="shared" si="22"/>
        <v>106.41455999999999</v>
      </c>
      <c r="M10" s="34">
        <f t="shared" si="3"/>
        <v>220.76064</v>
      </c>
      <c r="N10">
        <v>0.35</v>
      </c>
      <c r="O10" s="27">
        <f t="shared" si="4"/>
        <v>-1654.5150720000001</v>
      </c>
      <c r="P10" s="27">
        <f t="shared" si="23"/>
        <v>22198.077215999998</v>
      </c>
      <c r="Q10" s="27">
        <f t="shared" si="5"/>
        <v>46050.66950399999</v>
      </c>
      <c r="R10" s="27"/>
      <c r="S10" s="27"/>
      <c r="T10" s="27"/>
      <c r="U10" s="18"/>
      <c r="V10">
        <v>2.3999999999999998E-3</v>
      </c>
      <c r="W10">
        <v>0.99760000000000004</v>
      </c>
      <c r="X10" s="94">
        <f t="shared" si="6"/>
        <v>-3.9708361727999999</v>
      </c>
      <c r="Y10" s="94">
        <f t="shared" si="7"/>
        <v>53.275385318399991</v>
      </c>
      <c r="Z10" s="94">
        <f t="shared" si="8"/>
        <v>110.52160680959997</v>
      </c>
      <c r="AA10" s="94">
        <f t="shared" si="9"/>
        <v>-1650.5442358272003</v>
      </c>
      <c r="AB10" s="94">
        <f t="shared" si="10"/>
        <v>22144.801830681597</v>
      </c>
      <c r="AC10" s="94">
        <f t="shared" si="11"/>
        <v>45940.147897190393</v>
      </c>
      <c r="AJ10" s="18"/>
      <c r="AK10">
        <v>332</v>
      </c>
      <c r="AL10" s="34">
        <f t="shared" si="12"/>
        <v>3.7899543378995433E-2</v>
      </c>
      <c r="AM10" s="34">
        <f t="shared" si="0"/>
        <v>0.96210045662100452</v>
      </c>
      <c r="AN10" s="94">
        <f t="shared" si="13"/>
        <v>-62.554872864683844</v>
      </c>
      <c r="AO10" s="94">
        <f t="shared" si="14"/>
        <v>-31.277436432341922</v>
      </c>
      <c r="AP10" s="94">
        <f t="shared" si="15"/>
        <v>-1619.2667993948585</v>
      </c>
      <c r="AQ10" s="27"/>
      <c r="AR10" s="27"/>
      <c r="AS10" s="94">
        <f t="shared" si="16"/>
        <v>839.27787760117474</v>
      </c>
      <c r="AT10" s="94">
        <f t="shared" si="17"/>
        <v>419.63893880058737</v>
      </c>
      <c r="AU10" s="27">
        <f t="shared" si="18"/>
        <v>21725.162891881009</v>
      </c>
      <c r="AV10" s="27"/>
      <c r="AW10" s="27"/>
      <c r="AX10" s="94">
        <f t="shared" si="19"/>
        <v>1741.1106280670331</v>
      </c>
      <c r="AY10" s="94">
        <f t="shared" si="20"/>
        <v>870.55531403351654</v>
      </c>
      <c r="AZ10" s="27">
        <f t="shared" si="21"/>
        <v>45069.592583156875</v>
      </c>
      <c r="BA10" s="27"/>
      <c r="BB10" s="27"/>
      <c r="BC10" s="18"/>
      <c r="BG10" s="3"/>
      <c r="BJ10" s="3"/>
      <c r="BM10" s="3"/>
      <c r="BP10" s="117"/>
      <c r="BT10" s="3"/>
      <c r="BW10" s="3"/>
      <c r="BZ10" s="3"/>
      <c r="CC10" s="121"/>
      <c r="CF10" s="27"/>
      <c r="CG10" s="27"/>
      <c r="CH10" s="27"/>
      <c r="CI10" s="27"/>
      <c r="CJ10" s="27"/>
      <c r="CK10" s="27"/>
      <c r="CL10" s="27"/>
      <c r="CM10" s="27"/>
      <c r="CN10" s="27"/>
      <c r="CO10" s="27"/>
      <c r="CP10" s="27"/>
      <c r="CQ10" s="27"/>
      <c r="CR10" s="27"/>
      <c r="CS10" s="27"/>
      <c r="CT10" s="27"/>
      <c r="CU10" s="27"/>
      <c r="CV10" s="27"/>
      <c r="CW10" s="27"/>
      <c r="CX10" s="121"/>
      <c r="DA10" s="27"/>
      <c r="DB10" s="27"/>
      <c r="DC10" s="27"/>
      <c r="DD10" s="27"/>
      <c r="DE10" s="27"/>
      <c r="DF10" s="27"/>
      <c r="DG10" s="27"/>
      <c r="DH10" s="27" t="s">
        <v>270</v>
      </c>
      <c r="DI10" s="27"/>
      <c r="DJ10" s="27"/>
      <c r="DK10" s="27"/>
      <c r="DL10" s="27"/>
      <c r="DM10" s="27"/>
      <c r="DN10" s="27"/>
      <c r="DO10" s="27"/>
      <c r="DP10" s="27"/>
      <c r="DQ10" s="27"/>
      <c r="DR10" s="27"/>
      <c r="DS10" s="121"/>
      <c r="DW10" s="211"/>
      <c r="DY10" s="212"/>
      <c r="DZ10" s="213"/>
      <c r="EA10" s="212"/>
      <c r="EB10" s="212"/>
      <c r="EC10" s="227"/>
      <c r="EG10" s="211"/>
      <c r="EI10" s="212"/>
      <c r="EJ10" s="213"/>
      <c r="EK10" s="212"/>
      <c r="EL10" s="219"/>
      <c r="EP10" s="211"/>
      <c r="ER10" s="212"/>
      <c r="ES10" s="213"/>
      <c r="ET10" s="212"/>
      <c r="EU10" s="219"/>
    </row>
    <row r="11" spans="1:152" x14ac:dyDescent="0.2">
      <c r="A11" s="3" t="s">
        <v>20</v>
      </c>
      <c r="B11">
        <v>2122</v>
      </c>
      <c r="C11">
        <v>15</v>
      </c>
      <c r="D11">
        <v>0.24</v>
      </c>
      <c r="E11">
        <v>0.317</v>
      </c>
      <c r="F11" t="s">
        <v>26</v>
      </c>
      <c r="G11" t="s">
        <v>124</v>
      </c>
      <c r="H11" s="20"/>
      <c r="I11" s="21"/>
      <c r="J11">
        <v>673</v>
      </c>
      <c r="K11" s="34">
        <f t="shared" si="2"/>
        <v>-7.9315200000000008</v>
      </c>
      <c r="L11" s="34">
        <f t="shared" si="22"/>
        <v>106.41455999999999</v>
      </c>
      <c r="M11" s="34">
        <f t="shared" si="3"/>
        <v>220.76064</v>
      </c>
      <c r="N11">
        <v>0.32</v>
      </c>
      <c r="O11" s="27">
        <f t="shared" si="4"/>
        <v>-1708.1321472000002</v>
      </c>
      <c r="P11" s="27">
        <f t="shared" si="23"/>
        <v>22917.439641600002</v>
      </c>
      <c r="Q11" s="27">
        <f t="shared" si="5"/>
        <v>47543.011430399994</v>
      </c>
      <c r="R11" s="27"/>
      <c r="S11" s="27"/>
      <c r="T11" s="27"/>
      <c r="U11" s="18"/>
      <c r="V11">
        <v>2.3999999999999998E-3</v>
      </c>
      <c r="W11">
        <v>0.99760000000000004</v>
      </c>
      <c r="X11" s="94">
        <f t="shared" si="6"/>
        <v>-4.0995171532799999</v>
      </c>
      <c r="Y11" s="94">
        <f t="shared" si="7"/>
        <v>55.001855139839996</v>
      </c>
      <c r="Z11" s="94">
        <f t="shared" si="8"/>
        <v>114.10322743295998</v>
      </c>
      <c r="AA11" s="94">
        <f t="shared" si="9"/>
        <v>-1704.0326300467202</v>
      </c>
      <c r="AB11" s="94">
        <f t="shared" si="10"/>
        <v>22862.437786460163</v>
      </c>
      <c r="AC11" s="94">
        <f t="shared" si="11"/>
        <v>47428.908202967039</v>
      </c>
      <c r="AJ11" s="18"/>
      <c r="AK11">
        <v>0</v>
      </c>
      <c r="AL11" s="34">
        <f t="shared" si="12"/>
        <v>0</v>
      </c>
      <c r="AM11" s="34">
        <f t="shared" si="0"/>
        <v>1</v>
      </c>
      <c r="AN11" s="94">
        <f t="shared" si="13"/>
        <v>0</v>
      </c>
      <c r="AO11" s="94">
        <f t="shared" si="14"/>
        <v>0</v>
      </c>
      <c r="AP11" s="94">
        <f t="shared" si="15"/>
        <v>-1704.0326300467202</v>
      </c>
      <c r="AQ11" s="27"/>
      <c r="AR11" s="27"/>
      <c r="AS11" s="94">
        <f t="shared" si="16"/>
        <v>0</v>
      </c>
      <c r="AT11" s="94">
        <f t="shared" si="17"/>
        <v>0</v>
      </c>
      <c r="AU11" s="27">
        <f t="shared" si="18"/>
        <v>22862.437786460163</v>
      </c>
      <c r="AV11" s="27"/>
      <c r="AW11" s="27"/>
      <c r="AX11" s="94">
        <f t="shared" si="19"/>
        <v>0</v>
      </c>
      <c r="AY11" s="94">
        <f t="shared" si="20"/>
        <v>0</v>
      </c>
      <c r="AZ11" s="27">
        <f t="shared" si="21"/>
        <v>47428.908202967039</v>
      </c>
      <c r="BA11" s="27"/>
      <c r="BB11" s="27"/>
      <c r="BC11" s="18"/>
      <c r="BG11" s="3"/>
      <c r="BJ11" s="3"/>
      <c r="BM11" s="3"/>
      <c r="BP11" s="117"/>
      <c r="BT11" s="3"/>
      <c r="BW11" s="3"/>
      <c r="BZ11" s="3"/>
      <c r="CC11" s="121"/>
      <c r="CF11" s="27"/>
      <c r="CG11" s="27"/>
      <c r="CH11" s="27"/>
      <c r="CI11" s="27"/>
      <c r="CJ11" s="27"/>
      <c r="CK11" s="27"/>
      <c r="CL11" s="27"/>
      <c r="CM11" s="27"/>
      <c r="CN11" s="27"/>
      <c r="CO11" s="27"/>
      <c r="CP11" s="27"/>
      <c r="CQ11" s="27"/>
      <c r="CR11" s="27"/>
      <c r="CS11" s="27"/>
      <c r="CT11" s="27"/>
      <c r="CU11" s="27"/>
      <c r="CV11" s="27"/>
      <c r="CW11" s="27"/>
      <c r="CX11" s="121"/>
      <c r="DA11" s="27"/>
      <c r="DB11" s="27"/>
      <c r="DC11" s="27"/>
      <c r="DD11" s="27"/>
      <c r="DE11" s="27"/>
      <c r="DF11" s="27"/>
      <c r="DG11" s="27"/>
      <c r="DH11" s="27"/>
      <c r="DI11" s="27"/>
      <c r="DJ11" s="27"/>
      <c r="DK11" s="27"/>
      <c r="DL11" s="27"/>
      <c r="DM11" s="27"/>
      <c r="DN11" s="27"/>
      <c r="DO11" s="27"/>
      <c r="DP11" s="27"/>
      <c r="DQ11" s="27"/>
      <c r="DR11" s="27"/>
      <c r="DS11" s="121"/>
      <c r="DW11" s="211"/>
      <c r="DY11" s="212"/>
      <c r="DZ11" s="213"/>
      <c r="EA11" s="212"/>
      <c r="EB11" s="212"/>
      <c r="EC11" s="227"/>
      <c r="EG11" s="211"/>
      <c r="EI11" s="212"/>
      <c r="EJ11" s="213"/>
      <c r="EK11" s="212"/>
      <c r="EL11" s="219"/>
      <c r="EP11" s="211"/>
      <c r="ER11" s="212"/>
      <c r="ES11" s="213"/>
      <c r="ET11" s="212"/>
      <c r="EU11" s="219"/>
    </row>
    <row r="12" spans="1:152" x14ac:dyDescent="0.2">
      <c r="A12" s="3" t="s">
        <v>21</v>
      </c>
      <c r="B12">
        <v>2122</v>
      </c>
      <c r="C12">
        <v>15</v>
      </c>
      <c r="D12">
        <v>1.36</v>
      </c>
      <c r="E12">
        <v>0.19</v>
      </c>
      <c r="F12" t="s">
        <v>27</v>
      </c>
      <c r="G12" t="s">
        <v>124</v>
      </c>
      <c r="H12" s="20"/>
      <c r="I12" s="21"/>
      <c r="J12">
        <v>403</v>
      </c>
      <c r="K12" s="34">
        <f t="shared" si="2"/>
        <v>-7.9315200000000008</v>
      </c>
      <c r="L12" s="34">
        <f t="shared" si="22"/>
        <v>106.41455999999999</v>
      </c>
      <c r="M12" s="34">
        <f t="shared" si="3"/>
        <v>220.76064</v>
      </c>
      <c r="N12">
        <v>0.19</v>
      </c>
      <c r="O12" s="27">
        <f t="shared" si="4"/>
        <v>-607.31648640000014</v>
      </c>
      <c r="P12" s="27">
        <f t="shared" si="23"/>
        <v>8148.1628591999997</v>
      </c>
      <c r="Q12" s="27">
        <f t="shared" si="5"/>
        <v>16903.642204800002</v>
      </c>
      <c r="R12" s="27"/>
      <c r="S12" s="27"/>
      <c r="T12" s="27"/>
      <c r="U12" s="18"/>
      <c r="V12">
        <v>2.3999999999999998E-3</v>
      </c>
      <c r="W12">
        <v>0.99760000000000004</v>
      </c>
      <c r="X12" s="94">
        <f t="shared" si="6"/>
        <v>-1.4575595673600001</v>
      </c>
      <c r="Y12" s="94">
        <f t="shared" si="7"/>
        <v>19.555590862079999</v>
      </c>
      <c r="Z12" s="94">
        <f t="shared" si="8"/>
        <v>40.568741291519999</v>
      </c>
      <c r="AA12" s="94">
        <f t="shared" si="9"/>
        <v>-605.85892683264012</v>
      </c>
      <c r="AB12" s="94">
        <f t="shared" si="10"/>
        <v>8128.6072683379198</v>
      </c>
      <c r="AC12" s="94">
        <f t="shared" si="11"/>
        <v>16863.073463508485</v>
      </c>
      <c r="AJ12" s="18"/>
      <c r="AK12">
        <v>10</v>
      </c>
      <c r="AL12" s="34">
        <f t="shared" si="12"/>
        <v>1.1415525114155251E-3</v>
      </c>
      <c r="AM12" s="34">
        <f t="shared" si="0"/>
        <v>0.99885844748858443</v>
      </c>
      <c r="AN12" s="94">
        <f t="shared" si="13"/>
        <v>-0.69161977948931519</v>
      </c>
      <c r="AO12" s="94">
        <f t="shared" si="14"/>
        <v>-0.34580988974465759</v>
      </c>
      <c r="AP12" s="94">
        <f t="shared" si="15"/>
        <v>-605.51311694289552</v>
      </c>
      <c r="AQ12" s="27"/>
      <c r="AR12" s="27"/>
      <c r="AS12" s="94">
        <f t="shared" si="16"/>
        <v>9.2792320414816434</v>
      </c>
      <c r="AT12" s="94">
        <f t="shared" si="17"/>
        <v>4.6396160207408217</v>
      </c>
      <c r="AU12" s="27">
        <f t="shared" si="18"/>
        <v>8123.9676523171784</v>
      </c>
      <c r="AV12" s="27"/>
      <c r="AW12" s="27"/>
      <c r="AX12" s="94">
        <f t="shared" si="19"/>
        <v>19.250083862452605</v>
      </c>
      <c r="AY12" s="94">
        <f t="shared" si="20"/>
        <v>9.6250419312263027</v>
      </c>
      <c r="AZ12" s="27">
        <f t="shared" si="21"/>
        <v>16853.448421577257</v>
      </c>
      <c r="BA12" s="27"/>
      <c r="BB12" s="27"/>
      <c r="BC12" s="18"/>
      <c r="BG12" s="3"/>
      <c r="BJ12" s="3"/>
      <c r="BM12" s="3"/>
      <c r="BP12" s="117"/>
      <c r="BT12" s="3"/>
      <c r="BW12" s="3"/>
      <c r="BZ12" s="3"/>
      <c r="CC12" s="121"/>
      <c r="CF12" s="27" t="s">
        <v>93</v>
      </c>
      <c r="CG12" s="27"/>
      <c r="CH12" s="27"/>
      <c r="CI12" s="27"/>
      <c r="CJ12" s="27"/>
      <c r="CK12" s="27"/>
      <c r="CL12" s="27"/>
      <c r="CM12" s="27"/>
      <c r="CN12" s="27"/>
      <c r="CO12" s="27"/>
      <c r="CP12" s="27"/>
      <c r="CQ12" s="27"/>
      <c r="CR12" s="27"/>
      <c r="CS12" s="27"/>
      <c r="CT12" s="27"/>
      <c r="CU12" s="27"/>
      <c r="CV12" s="27"/>
      <c r="CW12" s="27"/>
      <c r="CX12" s="121"/>
      <c r="DA12" s="27"/>
      <c r="DB12" s="27"/>
      <c r="DC12" s="27"/>
      <c r="DD12" s="27"/>
      <c r="DE12" s="27"/>
      <c r="DF12" s="27"/>
      <c r="DG12" s="27"/>
      <c r="DH12" s="27"/>
      <c r="DI12" s="27"/>
      <c r="DJ12" s="27"/>
      <c r="DK12" s="27"/>
      <c r="DL12" s="27"/>
      <c r="DM12" s="27"/>
      <c r="DN12" s="27"/>
      <c r="DO12" s="27"/>
      <c r="DP12" s="27"/>
      <c r="DQ12" s="27"/>
      <c r="DR12" s="27"/>
      <c r="DS12" s="121"/>
      <c r="DW12" s="211"/>
      <c r="DY12" s="212"/>
      <c r="DZ12" s="213"/>
      <c r="EA12" s="212"/>
      <c r="EB12" s="212"/>
      <c r="EC12" s="227"/>
      <c r="EG12" s="211"/>
      <c r="EI12" s="212"/>
      <c r="EJ12" s="213"/>
      <c r="EK12" s="212"/>
      <c r="EL12" s="219"/>
      <c r="EP12" s="211"/>
      <c r="ER12" s="212"/>
      <c r="ES12" s="213"/>
      <c r="ET12" s="212"/>
      <c r="EU12" s="219"/>
    </row>
    <row r="13" spans="1:152" x14ac:dyDescent="0.2">
      <c r="A13" s="3" t="s">
        <v>23</v>
      </c>
      <c r="B13">
        <v>1479</v>
      </c>
      <c r="C13">
        <v>8</v>
      </c>
      <c r="D13">
        <v>1.01</v>
      </c>
      <c r="F13" t="s">
        <v>28</v>
      </c>
      <c r="G13" t="s">
        <v>30</v>
      </c>
      <c r="H13" s="20"/>
      <c r="I13" s="21"/>
      <c r="J13">
        <v>8</v>
      </c>
      <c r="K13" s="34">
        <f t="shared" si="2"/>
        <v>-7.9315200000000008</v>
      </c>
      <c r="L13" s="34">
        <f t="shared" si="22"/>
        <v>106.41455999999999</v>
      </c>
      <c r="M13" s="34">
        <f t="shared" si="3"/>
        <v>220.76064</v>
      </c>
      <c r="N13">
        <v>1.01</v>
      </c>
      <c r="O13" s="27">
        <f t="shared" si="4"/>
        <v>-64.086681600000006</v>
      </c>
      <c r="P13" s="27">
        <f t="shared" si="23"/>
        <v>859.82964479999998</v>
      </c>
      <c r="Q13" s="27">
        <f t="shared" si="5"/>
        <v>1783.7459712</v>
      </c>
      <c r="R13" s="27"/>
      <c r="S13" s="27"/>
      <c r="T13" s="27"/>
      <c r="U13" s="18"/>
      <c r="V13">
        <v>2.3999999999999998E-3</v>
      </c>
      <c r="W13">
        <v>0.99760000000000004</v>
      </c>
      <c r="X13" s="94">
        <f t="shared" si="6"/>
        <v>-0.15380803584</v>
      </c>
      <c r="Y13" s="94">
        <f t="shared" si="7"/>
        <v>2.0635911475199999</v>
      </c>
      <c r="Z13" s="94">
        <f t="shared" si="8"/>
        <v>4.2809903308799999</v>
      </c>
      <c r="AA13" s="94">
        <f t="shared" si="9"/>
        <v>-63.932873564160012</v>
      </c>
      <c r="AB13" s="94">
        <f t="shared" si="10"/>
        <v>857.76605365247997</v>
      </c>
      <c r="AC13" s="94">
        <f t="shared" si="11"/>
        <v>1779.4649808691202</v>
      </c>
      <c r="AJ13" s="18"/>
      <c r="AK13">
        <v>886</v>
      </c>
      <c r="AL13" s="34">
        <f t="shared" si="12"/>
        <v>0.10114155251141553</v>
      </c>
      <c r="AM13" s="34">
        <f t="shared" si="0"/>
        <v>0.89885844748858446</v>
      </c>
      <c r="AN13" s="94">
        <f t="shared" si="13"/>
        <v>-6.4662700887951798</v>
      </c>
      <c r="AO13" s="94">
        <f t="shared" si="14"/>
        <v>-3.2331350443975899</v>
      </c>
      <c r="AP13" s="94">
        <f t="shared" si="15"/>
        <v>-60.699738519762427</v>
      </c>
      <c r="AQ13" s="27"/>
      <c r="AR13" s="27"/>
      <c r="AS13" s="94">
        <f t="shared" si="16"/>
        <v>86.755790358001974</v>
      </c>
      <c r="AT13" s="94">
        <f t="shared" si="17"/>
        <v>43.377895179000987</v>
      </c>
      <c r="AU13" s="27">
        <f t="shared" si="18"/>
        <v>814.38815847347905</v>
      </c>
      <c r="AV13" s="27"/>
      <c r="AW13" s="27"/>
      <c r="AX13" s="94">
        <f t="shared" si="19"/>
        <v>179.97785080479915</v>
      </c>
      <c r="AY13" s="94">
        <f t="shared" si="20"/>
        <v>89.988925402399573</v>
      </c>
      <c r="AZ13" s="27">
        <f t="shared" si="21"/>
        <v>1689.4760554667207</v>
      </c>
      <c r="BA13" s="27"/>
      <c r="BB13" s="27"/>
      <c r="BC13" s="18"/>
      <c r="BG13" s="3"/>
      <c r="BJ13" s="3"/>
      <c r="BM13" s="3"/>
      <c r="BP13" s="117"/>
      <c r="BT13" s="3"/>
      <c r="BW13" s="3"/>
      <c r="BZ13" s="3"/>
      <c r="CC13" s="121"/>
      <c r="CF13" s="27"/>
      <c r="CG13" s="27"/>
      <c r="CH13" s="27"/>
      <c r="CI13" s="27"/>
      <c r="CJ13" s="27"/>
      <c r="CK13" s="27"/>
      <c r="CL13" s="27"/>
      <c r="CM13" s="27"/>
      <c r="CN13" s="27"/>
      <c r="CO13" s="27"/>
      <c r="CP13" s="27"/>
      <c r="CQ13" s="27"/>
      <c r="CR13" s="27"/>
      <c r="CS13" s="27"/>
      <c r="CT13" s="27"/>
      <c r="CU13" s="27"/>
      <c r="CV13" s="27"/>
      <c r="CW13" s="27"/>
      <c r="CX13" s="121"/>
      <c r="DA13" s="27"/>
      <c r="DB13" s="27"/>
      <c r="DC13" s="27"/>
      <c r="DD13" s="27"/>
      <c r="DE13" s="27"/>
      <c r="DF13" s="27"/>
      <c r="DG13" s="27"/>
      <c r="DH13" s="27"/>
      <c r="DI13" s="27"/>
      <c r="DJ13" s="27"/>
      <c r="DK13" s="27"/>
      <c r="DL13" s="27"/>
      <c r="DM13" s="27"/>
      <c r="DN13" s="27"/>
      <c r="DO13" s="27"/>
      <c r="DP13" s="27"/>
      <c r="DQ13" s="27"/>
      <c r="DR13" s="27"/>
      <c r="DS13" s="121"/>
      <c r="DW13" s="211"/>
      <c r="DY13" s="212"/>
      <c r="DZ13" s="213"/>
      <c r="EA13" s="212"/>
      <c r="EB13" s="212"/>
      <c r="EC13" s="227"/>
      <c r="EG13" s="211"/>
      <c r="EI13" s="212"/>
      <c r="EJ13" s="213"/>
      <c r="EK13" s="212"/>
      <c r="EL13" s="219"/>
      <c r="EP13" s="211"/>
      <c r="ER13" s="212"/>
      <c r="ES13" s="213"/>
      <c r="ET13" s="212"/>
      <c r="EU13" s="219"/>
    </row>
    <row r="14" spans="1:152" x14ac:dyDescent="0.2">
      <c r="A14" s="3" t="s">
        <v>24</v>
      </c>
      <c r="B14">
        <v>1228</v>
      </c>
      <c r="C14">
        <v>41</v>
      </c>
      <c r="D14">
        <v>3.38</v>
      </c>
      <c r="E14">
        <v>0.32500000000000001</v>
      </c>
      <c r="F14" t="s">
        <v>29</v>
      </c>
      <c r="G14" t="s">
        <v>124</v>
      </c>
      <c r="H14" s="20"/>
      <c r="I14" s="21"/>
      <c r="J14">
        <v>399</v>
      </c>
      <c r="K14" s="34">
        <f t="shared" si="2"/>
        <v>-7.9315200000000008</v>
      </c>
      <c r="L14" s="34">
        <f t="shared" si="22"/>
        <v>106.41455999999999</v>
      </c>
      <c r="M14" s="34">
        <f t="shared" si="3"/>
        <v>220.76064</v>
      </c>
      <c r="N14">
        <v>0.33</v>
      </c>
      <c r="O14" s="27">
        <f t="shared" si="4"/>
        <v>-1044.3432384000002</v>
      </c>
      <c r="P14" s="27">
        <f t="shared" si="23"/>
        <v>14011.6051152</v>
      </c>
      <c r="Q14" s="27">
        <f t="shared" si="5"/>
        <v>29067.553468800001</v>
      </c>
      <c r="R14" s="27"/>
      <c r="S14" s="27"/>
      <c r="T14" s="27"/>
      <c r="U14" s="18"/>
      <c r="V14">
        <v>2.3999999999999998E-3</v>
      </c>
      <c r="W14">
        <v>0.99760000000000004</v>
      </c>
      <c r="X14" s="94">
        <f t="shared" si="6"/>
        <v>-2.5064237721600002</v>
      </c>
      <c r="Y14" s="94">
        <f t="shared" si="7"/>
        <v>33.627852276479999</v>
      </c>
      <c r="Z14" s="94">
        <f t="shared" si="8"/>
        <v>69.762128325120003</v>
      </c>
      <c r="AA14" s="94">
        <f t="shared" si="9"/>
        <v>-1041.8368146278403</v>
      </c>
      <c r="AB14" s="94">
        <f t="shared" si="10"/>
        <v>13977.977262923521</v>
      </c>
      <c r="AC14" s="94">
        <f t="shared" si="11"/>
        <v>28997.791340474883</v>
      </c>
      <c r="AJ14" s="18"/>
      <c r="AK14">
        <v>167</v>
      </c>
      <c r="AL14" s="34">
        <f t="shared" si="12"/>
        <v>1.906392694063927E-2</v>
      </c>
      <c r="AM14" s="34">
        <f t="shared" si="0"/>
        <v>0.9809360730593607</v>
      </c>
      <c r="AN14" s="94">
        <f t="shared" si="13"/>
        <v>-19.861500918133487</v>
      </c>
      <c r="AO14" s="94">
        <f t="shared" si="14"/>
        <v>-9.9307504590667435</v>
      </c>
      <c r="AP14" s="94">
        <f t="shared" si="15"/>
        <v>-1031.9060641687736</v>
      </c>
      <c r="AQ14" s="27"/>
      <c r="AR14" s="27"/>
      <c r="AS14" s="94">
        <f t="shared" si="16"/>
        <v>266.47513731829088</v>
      </c>
      <c r="AT14" s="94">
        <f t="shared" si="17"/>
        <v>133.23756865914544</v>
      </c>
      <c r="AU14" s="27">
        <f t="shared" si="18"/>
        <v>13844.739694264375</v>
      </c>
      <c r="AV14" s="27"/>
      <c r="AW14" s="27"/>
      <c r="AX14" s="94">
        <f t="shared" si="19"/>
        <v>552.81177555471527</v>
      </c>
      <c r="AY14" s="94">
        <f t="shared" si="20"/>
        <v>276.40588777735763</v>
      </c>
      <c r="AZ14" s="27">
        <f t="shared" si="21"/>
        <v>28721.385452697523</v>
      </c>
      <c r="BA14" s="27"/>
      <c r="BB14" s="27"/>
      <c r="BC14" s="18"/>
      <c r="BG14" s="3"/>
      <c r="BJ14" s="3"/>
      <c r="BM14" s="3"/>
      <c r="BP14" s="117"/>
      <c r="BT14" s="3"/>
      <c r="BW14" s="3"/>
      <c r="BZ14" s="3"/>
      <c r="CC14" s="121"/>
      <c r="CF14" s="27"/>
      <c r="CG14" s="27"/>
      <c r="CH14" s="27"/>
      <c r="CI14" s="27"/>
      <c r="CJ14" s="27"/>
      <c r="CK14" s="27"/>
      <c r="CL14" s="27"/>
      <c r="CM14" s="27"/>
      <c r="CN14" s="27"/>
      <c r="CO14" s="27"/>
      <c r="CP14" s="27"/>
      <c r="CQ14" s="27"/>
      <c r="CR14" s="27"/>
      <c r="CS14" s="27"/>
      <c r="CT14" s="27"/>
      <c r="CU14" s="27"/>
      <c r="CV14" s="27"/>
      <c r="CW14" s="27"/>
      <c r="CX14" s="121"/>
      <c r="DA14" s="27"/>
      <c r="DB14" s="27"/>
      <c r="DC14" s="27"/>
      <c r="DD14" s="27"/>
      <c r="DE14" s="27"/>
      <c r="DF14" s="27"/>
      <c r="DG14" s="27"/>
      <c r="DH14" s="27"/>
      <c r="DI14" s="27"/>
      <c r="DJ14" s="27"/>
      <c r="DK14" s="27"/>
      <c r="DL14" s="27"/>
      <c r="DM14" s="27"/>
      <c r="DN14" s="27"/>
      <c r="DO14" s="27"/>
      <c r="DP14" s="27"/>
      <c r="DQ14" s="27"/>
      <c r="DR14" s="27"/>
      <c r="DS14" s="121"/>
      <c r="DW14" s="211"/>
      <c r="DY14" s="212"/>
      <c r="DZ14" s="213"/>
      <c r="EA14" s="212"/>
      <c r="EB14" s="212"/>
      <c r="EC14" s="227"/>
      <c r="EG14" s="211"/>
      <c r="EI14" s="212"/>
      <c r="EJ14" s="213"/>
      <c r="EK14" s="212"/>
      <c r="EL14" s="219"/>
      <c r="EP14" s="211"/>
      <c r="ER14" s="212"/>
      <c r="ES14" s="213"/>
      <c r="ET14" s="212"/>
      <c r="EU14" s="219"/>
    </row>
    <row r="15" spans="1:152" x14ac:dyDescent="0.2">
      <c r="A15" s="3" t="s">
        <v>31</v>
      </c>
      <c r="B15">
        <v>1379</v>
      </c>
      <c r="C15">
        <v>6</v>
      </c>
      <c r="D15">
        <v>0.59</v>
      </c>
      <c r="F15" t="s">
        <v>32</v>
      </c>
      <c r="G15" t="s">
        <v>30</v>
      </c>
      <c r="H15" s="20"/>
      <c r="I15" s="21"/>
      <c r="J15">
        <v>6</v>
      </c>
      <c r="K15" s="34">
        <f t="shared" si="2"/>
        <v>-7.9315200000000008</v>
      </c>
      <c r="L15" s="34">
        <f t="shared" si="22"/>
        <v>106.41455999999999</v>
      </c>
      <c r="M15" s="34">
        <f t="shared" si="3"/>
        <v>220.76064</v>
      </c>
      <c r="N15">
        <v>0.59</v>
      </c>
      <c r="O15" s="27">
        <f t="shared" si="4"/>
        <v>-28.077580800000003</v>
      </c>
      <c r="P15" s="27">
        <f t="shared" si="23"/>
        <v>376.70754239999997</v>
      </c>
      <c r="Q15" s="27">
        <f t="shared" si="5"/>
        <v>781.49266560000001</v>
      </c>
      <c r="R15" s="27"/>
      <c r="S15" s="27"/>
      <c r="T15" s="27"/>
      <c r="U15" s="18"/>
      <c r="V15">
        <v>2.3999999999999998E-3</v>
      </c>
      <c r="W15">
        <v>0.99760000000000004</v>
      </c>
      <c r="X15" s="94">
        <f t="shared" si="6"/>
        <v>-6.7386193920000004E-2</v>
      </c>
      <c r="Y15" s="94">
        <f t="shared" si="7"/>
        <v>0.90409810175999983</v>
      </c>
      <c r="Z15" s="94">
        <f t="shared" si="8"/>
        <v>1.8755823974399999</v>
      </c>
      <c r="AA15" s="94">
        <f t="shared" si="9"/>
        <v>-28.010194606080006</v>
      </c>
      <c r="AB15" s="94">
        <f t="shared" si="10"/>
        <v>375.80344429823998</v>
      </c>
      <c r="AC15" s="94">
        <f t="shared" si="11"/>
        <v>779.61708320256002</v>
      </c>
      <c r="AJ15" s="18"/>
      <c r="AK15">
        <v>1315</v>
      </c>
      <c r="AL15" s="34">
        <f t="shared" si="12"/>
        <v>0.15011415525114155</v>
      </c>
      <c r="AM15" s="34">
        <f t="shared" si="0"/>
        <v>0.84988584474885842</v>
      </c>
      <c r="AN15" s="94">
        <f t="shared" si="13"/>
        <v>-4.204726701711782</v>
      </c>
      <c r="AO15" s="94">
        <f t="shared" si="14"/>
        <v>-2.102363350855891</v>
      </c>
      <c r="AP15" s="94">
        <f t="shared" si="15"/>
        <v>-25.907831255224117</v>
      </c>
      <c r="AQ15" s="27"/>
      <c r="AR15" s="27"/>
      <c r="AS15" s="94">
        <f t="shared" si="16"/>
        <v>56.413416581299721</v>
      </c>
      <c r="AT15" s="94">
        <f t="shared" si="17"/>
        <v>28.206708290649861</v>
      </c>
      <c r="AU15" s="27">
        <f t="shared" si="18"/>
        <v>347.59673600759015</v>
      </c>
      <c r="AV15" s="27"/>
      <c r="AW15" s="27"/>
      <c r="AX15" s="94">
        <f t="shared" si="19"/>
        <v>117.03155986431123</v>
      </c>
      <c r="AY15" s="94">
        <f t="shared" si="20"/>
        <v>58.515779932155617</v>
      </c>
      <c r="AZ15" s="27">
        <f t="shared" si="21"/>
        <v>721.1013032704044</v>
      </c>
      <c r="BA15" s="27"/>
      <c r="BB15" s="27"/>
      <c r="BC15" s="18"/>
      <c r="BG15" s="3"/>
      <c r="BJ15" s="3"/>
      <c r="BM15" s="3"/>
      <c r="BP15" s="117"/>
      <c r="BT15" s="3"/>
      <c r="BW15" s="3"/>
      <c r="BZ15" s="3"/>
      <c r="CC15" s="121"/>
      <c r="CF15" s="27"/>
      <c r="CG15" s="27"/>
      <c r="CH15" s="27"/>
      <c r="CI15" s="27"/>
      <c r="CJ15" s="27"/>
      <c r="CK15" s="27"/>
      <c r="CL15" s="27"/>
      <c r="CM15" s="27"/>
      <c r="CN15" s="27"/>
      <c r="CO15" s="27"/>
      <c r="CP15" s="27"/>
      <c r="CQ15" s="27"/>
      <c r="CR15" s="27"/>
      <c r="CS15" s="27"/>
      <c r="CT15" s="27"/>
      <c r="CU15" s="27"/>
      <c r="CV15" s="27"/>
      <c r="CW15" s="27"/>
      <c r="CX15" s="121"/>
      <c r="DA15" s="27"/>
      <c r="DB15" s="27"/>
      <c r="DC15" s="27"/>
      <c r="DD15" s="27"/>
      <c r="DE15" s="27"/>
      <c r="DF15" s="27"/>
      <c r="DG15" s="27"/>
      <c r="DH15" s="27"/>
      <c r="DI15" s="27"/>
      <c r="DJ15" s="27"/>
      <c r="DK15" s="27"/>
      <c r="DL15" s="27"/>
      <c r="DM15" s="27"/>
      <c r="DN15" s="27"/>
      <c r="DO15" s="27"/>
      <c r="DP15" s="27"/>
      <c r="DQ15" s="27"/>
      <c r="DR15" s="27"/>
      <c r="DS15" s="121"/>
      <c r="DW15" s="211"/>
      <c r="DY15" s="212"/>
      <c r="DZ15" s="213"/>
      <c r="EA15" s="212"/>
      <c r="EB15" s="212"/>
      <c r="EC15" s="227"/>
      <c r="EG15" s="211"/>
      <c r="EI15" s="212"/>
      <c r="EJ15" s="213"/>
      <c r="EK15" s="212"/>
      <c r="EL15" s="219"/>
      <c r="EP15" s="211"/>
      <c r="ER15" s="212"/>
      <c r="ES15" s="213"/>
      <c r="ET15" s="212"/>
      <c r="EU15" s="219"/>
    </row>
    <row r="16" spans="1:152" x14ac:dyDescent="0.2">
      <c r="A16" s="3" t="s">
        <v>33</v>
      </c>
      <c r="B16">
        <v>1179</v>
      </c>
      <c r="C16">
        <v>10</v>
      </c>
      <c r="D16">
        <v>2.5</v>
      </c>
      <c r="E16">
        <v>0.625</v>
      </c>
      <c r="F16" t="s">
        <v>34</v>
      </c>
      <c r="G16" t="s">
        <v>11</v>
      </c>
      <c r="H16" s="20"/>
      <c r="I16" s="21"/>
      <c r="J16">
        <v>737</v>
      </c>
      <c r="K16" s="34">
        <f t="shared" si="2"/>
        <v>-7.9315200000000008</v>
      </c>
      <c r="L16" s="34">
        <f t="shared" si="22"/>
        <v>106.41455999999999</v>
      </c>
      <c r="M16" s="34">
        <f t="shared" si="3"/>
        <v>220.76064</v>
      </c>
      <c r="N16">
        <v>0.63</v>
      </c>
      <c r="O16" s="27">
        <f t="shared" si="4"/>
        <v>-3682.6840512000008</v>
      </c>
      <c r="P16" s="27">
        <f t="shared" si="23"/>
        <v>49409.344353599998</v>
      </c>
      <c r="Q16" s="27">
        <f t="shared" si="5"/>
        <v>102501.37275839999</v>
      </c>
      <c r="R16" s="27"/>
      <c r="S16" s="27"/>
      <c r="T16" s="27"/>
      <c r="U16" s="18"/>
      <c r="V16">
        <v>2.3999999999999998E-3</v>
      </c>
      <c r="W16">
        <v>0.99760000000000004</v>
      </c>
      <c r="X16" s="94">
        <f t="shared" si="6"/>
        <v>-8.8384417228800007</v>
      </c>
      <c r="Y16" s="94">
        <f t="shared" si="7"/>
        <v>118.58242644863998</v>
      </c>
      <c r="Z16" s="94">
        <f t="shared" si="8"/>
        <v>246.00329462015995</v>
      </c>
      <c r="AA16" s="94">
        <f t="shared" si="9"/>
        <v>-3673.8456094771209</v>
      </c>
      <c r="AB16" s="94">
        <f t="shared" si="10"/>
        <v>49290.761927151361</v>
      </c>
      <c r="AC16" s="94">
        <f t="shared" si="11"/>
        <v>102255.36946377983</v>
      </c>
      <c r="AJ16" s="18"/>
      <c r="AK16">
        <v>149</v>
      </c>
      <c r="AL16" s="34">
        <f t="shared" si="12"/>
        <v>1.7009132420091323E-2</v>
      </c>
      <c r="AM16" s="34">
        <f t="shared" si="0"/>
        <v>0.98299086757990872</v>
      </c>
      <c r="AN16" s="94">
        <f t="shared" si="13"/>
        <v>-62.488926462567463</v>
      </c>
      <c r="AO16" s="94">
        <f t="shared" si="14"/>
        <v>-31.244463231283731</v>
      </c>
      <c r="AP16" s="94">
        <f t="shared" si="15"/>
        <v>-3642.6011462458373</v>
      </c>
      <c r="AQ16" s="27"/>
      <c r="AR16" s="27"/>
      <c r="AS16" s="94">
        <f t="shared" si="16"/>
        <v>838.39309670611328</v>
      </c>
      <c r="AT16" s="94">
        <f t="shared" si="17"/>
        <v>419.19654835305664</v>
      </c>
      <c r="AU16" s="27">
        <f t="shared" si="18"/>
        <v>48871.56537879831</v>
      </c>
      <c r="AV16" s="27"/>
      <c r="AW16" s="27"/>
      <c r="AX16" s="94">
        <f t="shared" si="19"/>
        <v>1739.2751198747937</v>
      </c>
      <c r="AY16" s="94">
        <f t="shared" si="20"/>
        <v>869.63755993739687</v>
      </c>
      <c r="AZ16" s="27">
        <f t="shared" si="21"/>
        <v>101385.73190384245</v>
      </c>
      <c r="BA16" s="27"/>
      <c r="BB16" s="27"/>
      <c r="BC16" s="18"/>
      <c r="BG16" s="3"/>
      <c r="BJ16" s="3"/>
      <c r="BM16" s="3"/>
      <c r="BP16" s="117"/>
      <c r="BT16" s="3"/>
      <c r="BW16" s="3"/>
      <c r="BZ16" s="3"/>
      <c r="CC16" s="121"/>
      <c r="CF16" s="27"/>
      <c r="CG16" s="27"/>
      <c r="CH16" s="27"/>
      <c r="CI16" s="27"/>
      <c r="CJ16" s="27"/>
      <c r="CK16" s="27"/>
      <c r="CL16" s="27"/>
      <c r="CM16" s="27"/>
      <c r="CN16" s="27"/>
      <c r="CO16" s="27"/>
      <c r="CP16" s="27"/>
      <c r="CQ16" s="27"/>
      <c r="CR16" s="27"/>
      <c r="CS16" s="27"/>
      <c r="CT16" s="27"/>
      <c r="CU16" s="27"/>
      <c r="CV16" s="27"/>
      <c r="CW16" s="27"/>
      <c r="CX16" s="121"/>
      <c r="DA16" s="27"/>
      <c r="DB16" s="27"/>
      <c r="DC16" s="27"/>
      <c r="DD16" s="27"/>
      <c r="DE16" s="27"/>
      <c r="DF16" s="27"/>
      <c r="DG16" s="27"/>
      <c r="DH16" s="27"/>
      <c r="DI16" s="27"/>
      <c r="DJ16" s="27"/>
      <c r="DK16" s="27"/>
      <c r="DL16" s="27"/>
      <c r="DM16" s="27"/>
      <c r="DN16" s="27"/>
      <c r="DO16" s="27"/>
      <c r="DP16" s="27"/>
      <c r="DQ16" s="27"/>
      <c r="DR16" s="27"/>
      <c r="DS16" s="121"/>
      <c r="DW16" s="211"/>
      <c r="DY16" s="212"/>
      <c r="DZ16" s="213"/>
      <c r="EA16" s="212"/>
      <c r="EB16" s="212"/>
      <c r="EC16" s="227"/>
      <c r="EG16" s="211"/>
      <c r="EI16" s="212"/>
      <c r="EJ16" s="213"/>
      <c r="EK16" s="212"/>
      <c r="EL16" s="219"/>
      <c r="EP16" s="211"/>
      <c r="ER16" s="212"/>
      <c r="ES16" s="213"/>
      <c r="ET16" s="212"/>
      <c r="EU16" s="219"/>
    </row>
    <row r="17" spans="1:152" x14ac:dyDescent="0.2">
      <c r="A17" s="3" t="s">
        <v>35</v>
      </c>
      <c r="B17">
        <v>1252</v>
      </c>
      <c r="C17">
        <v>1250</v>
      </c>
      <c r="D17">
        <v>0.08</v>
      </c>
      <c r="F17" t="s">
        <v>36</v>
      </c>
      <c r="G17" t="s">
        <v>126</v>
      </c>
      <c r="H17" s="20"/>
      <c r="I17" s="21"/>
      <c r="J17">
        <v>100</v>
      </c>
      <c r="K17" s="34">
        <f t="shared" si="2"/>
        <v>-7.9315200000000008</v>
      </c>
      <c r="L17" s="34">
        <f t="shared" si="22"/>
        <v>106.41455999999999</v>
      </c>
      <c r="M17" s="34">
        <f t="shared" si="3"/>
        <v>220.76064</v>
      </c>
      <c r="N17">
        <v>0.08</v>
      </c>
      <c r="O17" s="27">
        <f t="shared" si="4"/>
        <v>-63.452160000000006</v>
      </c>
      <c r="P17" s="27">
        <f t="shared" si="23"/>
        <v>851.31648000000007</v>
      </c>
      <c r="Q17" s="27">
        <f t="shared" si="5"/>
        <v>1766.08512</v>
      </c>
      <c r="R17" s="27"/>
      <c r="S17" s="27"/>
      <c r="T17" s="27"/>
      <c r="U17" s="18"/>
      <c r="V17">
        <v>2.3999999999999998E-3</v>
      </c>
      <c r="W17">
        <v>0.99760000000000004</v>
      </c>
      <c r="X17" s="94">
        <f t="shared" si="6"/>
        <v>-0.15228518399999999</v>
      </c>
      <c r="Y17" s="94">
        <f t="shared" si="7"/>
        <v>2.0431595520000001</v>
      </c>
      <c r="Z17" s="94">
        <f t="shared" si="8"/>
        <v>4.2386042879999994</v>
      </c>
      <c r="AA17" s="94">
        <f t="shared" si="9"/>
        <v>-63.299874816000006</v>
      </c>
      <c r="AB17" s="94">
        <f t="shared" si="10"/>
        <v>849.27332044800005</v>
      </c>
      <c r="AC17" s="94">
        <f t="shared" si="11"/>
        <v>1761.8465157119999</v>
      </c>
      <c r="AJ17" s="18"/>
      <c r="AK17">
        <v>1181</v>
      </c>
      <c r="AL17" s="34">
        <f t="shared" si="12"/>
        <v>0.13481735159817351</v>
      </c>
      <c r="AM17" s="34">
        <f t="shared" si="0"/>
        <v>0.86518264840182646</v>
      </c>
      <c r="AN17" s="94">
        <f t="shared" si="13"/>
        <v>-8.5339214791890416</v>
      </c>
      <c r="AO17" s="94">
        <f t="shared" si="14"/>
        <v>-4.2669607395945208</v>
      </c>
      <c r="AP17" s="94">
        <f t="shared" si="15"/>
        <v>-59.032914076405483</v>
      </c>
      <c r="AQ17" s="27"/>
      <c r="AR17" s="27"/>
      <c r="AS17" s="94">
        <f t="shared" si="16"/>
        <v>114.49677984578631</v>
      </c>
      <c r="AT17" s="94">
        <f t="shared" si="17"/>
        <v>57.248389922893153</v>
      </c>
      <c r="AU17" s="27">
        <f t="shared" si="18"/>
        <v>792.02493052510681</v>
      </c>
      <c r="AV17" s="27"/>
      <c r="AW17" s="27"/>
      <c r="AX17" s="94">
        <f t="shared" si="19"/>
        <v>237.52748117076163</v>
      </c>
      <c r="AY17" s="94">
        <f t="shared" si="20"/>
        <v>118.76374058538082</v>
      </c>
      <c r="AZ17" s="27">
        <f t="shared" si="21"/>
        <v>1643.0827751266193</v>
      </c>
      <c r="BA17" s="27"/>
      <c r="BB17" s="27"/>
      <c r="BC17" s="18"/>
      <c r="BG17" s="3"/>
      <c r="BJ17" s="3"/>
      <c r="BM17" s="3"/>
      <c r="BP17" s="117"/>
      <c r="BT17" s="3"/>
      <c r="BW17" s="3"/>
      <c r="BZ17" s="3"/>
      <c r="CC17" s="121"/>
      <c r="CF17" s="27"/>
      <c r="CG17" s="27"/>
      <c r="CH17" s="27"/>
      <c r="CI17" s="27"/>
      <c r="CJ17" s="27"/>
      <c r="CK17" s="27"/>
      <c r="CL17" s="27"/>
      <c r="CM17" s="27"/>
      <c r="CN17" s="27"/>
      <c r="CO17" s="27"/>
      <c r="CP17" s="27"/>
      <c r="CQ17" s="27"/>
      <c r="CR17" s="27"/>
      <c r="CS17" s="27"/>
      <c r="CT17" s="27"/>
      <c r="CU17" s="27"/>
      <c r="CV17" s="27"/>
      <c r="CW17" s="27"/>
      <c r="CX17" s="121"/>
      <c r="DA17" s="27"/>
      <c r="DB17" s="27"/>
      <c r="DC17" s="27"/>
      <c r="DD17" s="27"/>
      <c r="DE17" s="27"/>
      <c r="DF17" s="27"/>
      <c r="DG17" s="27"/>
      <c r="DH17" s="27"/>
      <c r="DI17" s="27"/>
      <c r="DJ17" s="27"/>
      <c r="DK17" s="27"/>
      <c r="DL17" s="27"/>
      <c r="DM17" s="27"/>
      <c r="DN17" s="27"/>
      <c r="DO17" s="27"/>
      <c r="DP17" s="27"/>
      <c r="DQ17" s="27"/>
      <c r="DR17" s="27"/>
      <c r="DS17" s="121"/>
      <c r="DW17" s="211"/>
      <c r="DY17" s="212"/>
      <c r="DZ17" s="213"/>
      <c r="EA17" s="212"/>
      <c r="EB17" s="212"/>
      <c r="EC17" s="227"/>
      <c r="EG17" s="211"/>
      <c r="EI17" s="212"/>
      <c r="EJ17" s="213"/>
      <c r="EK17" s="212"/>
      <c r="EL17" s="219"/>
      <c r="EP17" s="211"/>
      <c r="ER17" s="212"/>
      <c r="ES17" s="213"/>
      <c r="ET17" s="212"/>
      <c r="EU17" s="219"/>
    </row>
    <row r="18" spans="1:152" x14ac:dyDescent="0.2">
      <c r="A18" s="3" t="s">
        <v>37</v>
      </c>
      <c r="B18">
        <v>1186.5</v>
      </c>
      <c r="C18">
        <v>901</v>
      </c>
      <c r="D18">
        <v>0.69</v>
      </c>
      <c r="E18">
        <v>0.16500000000000001</v>
      </c>
      <c r="F18" t="s">
        <v>38</v>
      </c>
      <c r="G18" t="s">
        <v>16</v>
      </c>
      <c r="H18" s="20"/>
      <c r="I18" s="21"/>
      <c r="J18">
        <v>819</v>
      </c>
      <c r="K18" s="34">
        <f t="shared" si="2"/>
        <v>-7.9315200000000008</v>
      </c>
      <c r="L18" s="34">
        <f t="shared" si="22"/>
        <v>106.41455999999999</v>
      </c>
      <c r="M18" s="34">
        <f t="shared" si="3"/>
        <v>220.76064</v>
      </c>
      <c r="N18">
        <v>0.17</v>
      </c>
      <c r="O18" s="27">
        <f t="shared" si="4"/>
        <v>-1104.3055296000002</v>
      </c>
      <c r="P18" s="27">
        <f t="shared" si="23"/>
        <v>14816.099188799999</v>
      </c>
      <c r="Q18" s="27">
        <f t="shared" si="5"/>
        <v>30736.503907200004</v>
      </c>
      <c r="R18" s="27"/>
      <c r="S18" s="27"/>
      <c r="T18" s="27"/>
      <c r="U18" s="18"/>
      <c r="V18">
        <v>2.3999999999999998E-3</v>
      </c>
      <c r="W18">
        <v>0.99760000000000004</v>
      </c>
      <c r="X18" s="94">
        <f t="shared" si="6"/>
        <v>-2.6503332710400005</v>
      </c>
      <c r="Y18" s="94">
        <f t="shared" si="7"/>
        <v>35.558638053119992</v>
      </c>
      <c r="Z18" s="94">
        <f t="shared" si="8"/>
        <v>73.767609377279996</v>
      </c>
      <c r="AA18" s="94">
        <f t="shared" si="9"/>
        <v>-1101.6551963289603</v>
      </c>
      <c r="AB18" s="94">
        <f t="shared" si="10"/>
        <v>14780.54055074688</v>
      </c>
      <c r="AC18" s="94">
        <f t="shared" si="11"/>
        <v>30662.736297822725</v>
      </c>
      <c r="AJ18" s="18"/>
      <c r="AK18">
        <v>171</v>
      </c>
      <c r="AL18" s="34">
        <f t="shared" si="12"/>
        <v>1.9520547945205479E-2</v>
      </c>
      <c r="AM18" s="34">
        <f t="shared" si="0"/>
        <v>0.98047945205479448</v>
      </c>
      <c r="AN18" s="94">
        <f t="shared" si="13"/>
        <v>-21.504913079024224</v>
      </c>
      <c r="AO18" s="94">
        <f t="shared" si="14"/>
        <v>-10.752456539512112</v>
      </c>
      <c r="AP18" s="94">
        <f t="shared" si="15"/>
        <v>-1090.9027397894483</v>
      </c>
      <c r="AQ18" s="27"/>
      <c r="AR18" s="27"/>
      <c r="AS18" s="94">
        <f t="shared" si="16"/>
        <v>288.52425047690826</v>
      </c>
      <c r="AT18" s="94">
        <f t="shared" si="17"/>
        <v>144.26212523845413</v>
      </c>
      <c r="AU18" s="27">
        <f t="shared" si="18"/>
        <v>14636.278425508426</v>
      </c>
      <c r="AV18" s="27"/>
      <c r="AW18" s="27"/>
      <c r="AX18" s="94">
        <f t="shared" si="19"/>
        <v>598.55341403284081</v>
      </c>
      <c r="AY18" s="94">
        <f t="shared" si="20"/>
        <v>299.2767070164204</v>
      </c>
      <c r="AZ18" s="27">
        <f t="shared" si="21"/>
        <v>30363.459590806302</v>
      </c>
      <c r="BA18" s="27"/>
      <c r="BB18" s="27"/>
      <c r="BC18" s="18"/>
      <c r="BG18" s="3"/>
      <c r="BJ18" s="3"/>
      <c r="BM18" s="3"/>
      <c r="BP18" s="117"/>
      <c r="BT18" s="3"/>
      <c r="BW18" s="3"/>
      <c r="BZ18" s="3"/>
      <c r="CC18" s="121"/>
      <c r="CF18" s="27"/>
      <c r="CG18" s="27"/>
      <c r="CH18" s="27"/>
      <c r="CI18" s="27"/>
      <c r="CJ18" s="27"/>
      <c r="CK18" s="27"/>
      <c r="CL18" s="27"/>
      <c r="CM18" s="27"/>
      <c r="CN18" s="27"/>
      <c r="CO18" s="27"/>
      <c r="CP18" s="27"/>
      <c r="CQ18" s="27"/>
      <c r="CR18" s="27"/>
      <c r="CS18" s="27"/>
      <c r="CT18" s="27"/>
      <c r="CU18" s="27"/>
      <c r="CV18" s="27"/>
      <c r="CW18" s="27"/>
      <c r="CX18" s="121"/>
      <c r="DA18" s="27"/>
      <c r="DB18" s="27"/>
      <c r="DC18" s="27"/>
      <c r="DD18" s="27"/>
      <c r="DE18" s="27"/>
      <c r="DF18" s="27"/>
      <c r="DG18" s="27"/>
      <c r="DH18" s="27"/>
      <c r="DI18" s="27"/>
      <c r="DJ18" s="27"/>
      <c r="DK18" s="27"/>
      <c r="DL18" s="27"/>
      <c r="DM18" s="27"/>
      <c r="DN18" s="27"/>
      <c r="DO18" s="27"/>
      <c r="DP18" s="27"/>
      <c r="DQ18" s="27"/>
      <c r="DR18" s="27"/>
      <c r="DS18" s="121"/>
      <c r="DW18" s="211"/>
      <c r="DY18" s="212"/>
      <c r="DZ18" s="213"/>
      <c r="EA18" s="212"/>
      <c r="EB18" s="212"/>
      <c r="EC18" s="227"/>
      <c r="EG18" s="211"/>
      <c r="EI18" s="212"/>
      <c r="EJ18" s="213"/>
      <c r="EK18" s="212"/>
      <c r="EL18" s="219"/>
      <c r="EP18" s="211"/>
      <c r="ER18" s="212"/>
      <c r="ES18" s="213"/>
      <c r="ET18" s="212"/>
      <c r="EU18" s="219"/>
    </row>
    <row r="19" spans="1:152" x14ac:dyDescent="0.2">
      <c r="A19" s="3" t="s">
        <v>39</v>
      </c>
      <c r="B19">
        <v>1747</v>
      </c>
      <c r="C19">
        <v>901</v>
      </c>
      <c r="D19">
        <v>0.41</v>
      </c>
      <c r="F19" t="s">
        <v>40</v>
      </c>
      <c r="G19" t="s">
        <v>126</v>
      </c>
      <c r="H19" s="20"/>
      <c r="I19" s="21"/>
      <c r="J19">
        <v>716</v>
      </c>
      <c r="K19" s="34">
        <f t="shared" si="2"/>
        <v>-7.9315200000000008</v>
      </c>
      <c r="L19" s="34">
        <f t="shared" si="22"/>
        <v>106.41455999999999</v>
      </c>
      <c r="M19" s="34">
        <f t="shared" si="3"/>
        <v>220.76064</v>
      </c>
      <c r="N19">
        <v>0.41</v>
      </c>
      <c r="O19" s="27">
        <f t="shared" si="4"/>
        <v>-2328.3770112000002</v>
      </c>
      <c r="P19" s="27">
        <f t="shared" si="23"/>
        <v>31239.058233599997</v>
      </c>
      <c r="Q19" s="27">
        <f t="shared" si="5"/>
        <v>64806.4934784</v>
      </c>
      <c r="R19" s="27"/>
      <c r="S19" s="27"/>
      <c r="T19" s="27"/>
      <c r="U19" s="18"/>
      <c r="V19">
        <v>2.3999999999999998E-3</v>
      </c>
      <c r="W19">
        <v>0.99760000000000004</v>
      </c>
      <c r="X19" s="94">
        <f t="shared" si="6"/>
        <v>-5.5881048268799995</v>
      </c>
      <c r="Y19" s="94">
        <f t="shared" si="7"/>
        <v>74.973739760639987</v>
      </c>
      <c r="Z19" s="94">
        <f t="shared" si="8"/>
        <v>155.53558434815997</v>
      </c>
      <c r="AA19" s="94">
        <f t="shared" si="9"/>
        <v>-2322.7889063731204</v>
      </c>
      <c r="AB19" s="94">
        <f t="shared" si="10"/>
        <v>31164.084493839357</v>
      </c>
      <c r="AC19" s="94">
        <f t="shared" si="11"/>
        <v>64650.95789405184</v>
      </c>
      <c r="AJ19" s="18"/>
      <c r="AK19">
        <v>14</v>
      </c>
      <c r="AL19" s="34">
        <f t="shared" si="12"/>
        <v>1.5981735159817352E-3</v>
      </c>
      <c r="AM19" s="34">
        <f t="shared" si="0"/>
        <v>0.99840182648401832</v>
      </c>
      <c r="AN19" s="94">
        <f t="shared" si="13"/>
        <v>-3.7122197133816996</v>
      </c>
      <c r="AO19" s="94">
        <f t="shared" si="14"/>
        <v>-1.8561098566908498</v>
      </c>
      <c r="AP19" s="94">
        <f t="shared" si="15"/>
        <v>-2320.9327965164293</v>
      </c>
      <c r="AQ19" s="27"/>
      <c r="AR19" s="27"/>
      <c r="AS19" s="94">
        <f t="shared" si="16"/>
        <v>49.805614487871118</v>
      </c>
      <c r="AT19" s="94">
        <f t="shared" si="17"/>
        <v>24.902807243935559</v>
      </c>
      <c r="AU19" s="27">
        <f t="shared" si="18"/>
        <v>31139.181686595424</v>
      </c>
      <c r="AV19" s="27"/>
      <c r="AW19" s="27"/>
      <c r="AX19" s="94">
        <f t="shared" si="19"/>
        <v>103.32344868912395</v>
      </c>
      <c r="AY19" s="94">
        <f t="shared" si="20"/>
        <v>51.661724344561975</v>
      </c>
      <c r="AZ19" s="27">
        <f t="shared" si="21"/>
        <v>64599.296169707282</v>
      </c>
      <c r="BA19" s="27"/>
      <c r="BB19" s="27"/>
      <c r="BC19" s="18"/>
      <c r="BG19" s="3"/>
      <c r="BJ19" s="3"/>
      <c r="BM19" s="3"/>
      <c r="BP19" s="117"/>
      <c r="BT19" s="3"/>
      <c r="BW19" s="3"/>
      <c r="BZ19" s="3"/>
      <c r="CC19" s="121"/>
      <c r="CF19" s="27"/>
      <c r="CG19" s="27"/>
      <c r="CH19" s="27"/>
      <c r="CI19" s="27"/>
      <c r="CJ19" s="27"/>
      <c r="CK19" s="27"/>
      <c r="CL19" s="27"/>
      <c r="CM19" s="27"/>
      <c r="CN19" s="27"/>
      <c r="CO19" s="27"/>
      <c r="CP19" s="27"/>
      <c r="CQ19" s="27"/>
      <c r="CR19" s="27"/>
      <c r="CS19" s="27"/>
      <c r="CT19" s="27"/>
      <c r="CU19" s="27"/>
      <c r="CV19" s="27"/>
      <c r="CW19" s="27"/>
      <c r="CX19" s="121"/>
      <c r="DA19" s="27"/>
      <c r="DB19" s="27"/>
      <c r="DC19" s="27"/>
      <c r="DD19" s="27"/>
      <c r="DE19" s="27"/>
      <c r="DF19" s="27"/>
      <c r="DG19" s="27"/>
      <c r="DH19" s="27"/>
      <c r="DI19" s="27"/>
      <c r="DJ19" s="27"/>
      <c r="DK19" s="27"/>
      <c r="DL19" s="27"/>
      <c r="DM19" s="27"/>
      <c r="DN19" s="27"/>
      <c r="DO19" s="27"/>
      <c r="DP19" s="27"/>
      <c r="DQ19" s="27"/>
      <c r="DR19" s="27"/>
      <c r="DS19" s="121"/>
      <c r="DW19" s="211"/>
      <c r="DY19" s="212"/>
      <c r="DZ19" s="213"/>
      <c r="EA19" s="212"/>
      <c r="EB19" s="212"/>
      <c r="EC19" s="227"/>
      <c r="EG19" s="211"/>
      <c r="EI19" s="212"/>
      <c r="EJ19" s="213"/>
      <c r="EK19" s="212"/>
      <c r="EL19" s="219"/>
      <c r="EP19" s="211"/>
      <c r="ER19" s="212"/>
      <c r="ES19" s="213"/>
      <c r="ET19" s="212"/>
      <c r="EU19" s="219"/>
    </row>
    <row r="20" spans="1:152" x14ac:dyDescent="0.2">
      <c r="A20" s="3" t="s">
        <v>41</v>
      </c>
      <c r="B20">
        <v>1179</v>
      </c>
      <c r="C20">
        <v>10</v>
      </c>
      <c r="D20">
        <v>0.34</v>
      </c>
      <c r="E20">
        <v>0.25</v>
      </c>
      <c r="F20" t="s">
        <v>42</v>
      </c>
      <c r="G20" t="s">
        <v>11</v>
      </c>
      <c r="H20" s="20"/>
      <c r="I20" s="21"/>
      <c r="J20">
        <v>295</v>
      </c>
      <c r="K20" s="34">
        <f t="shared" si="2"/>
        <v>-7.9315200000000008</v>
      </c>
      <c r="L20" s="34">
        <f t="shared" si="22"/>
        <v>106.41455999999999</v>
      </c>
      <c r="M20" s="34">
        <f t="shared" si="3"/>
        <v>220.76064</v>
      </c>
      <c r="N20">
        <v>0.25</v>
      </c>
      <c r="O20" s="27">
        <f t="shared" si="4"/>
        <v>-584.94960000000003</v>
      </c>
      <c r="P20" s="27">
        <f t="shared" si="23"/>
        <v>7848.0737999999992</v>
      </c>
      <c r="Q20" s="27">
        <f t="shared" si="5"/>
        <v>16281.0972</v>
      </c>
      <c r="R20" s="27"/>
      <c r="S20" s="27"/>
      <c r="T20" s="27"/>
      <c r="U20" s="18"/>
      <c r="V20">
        <v>2.3999999999999998E-3</v>
      </c>
      <c r="W20">
        <v>0.99760000000000004</v>
      </c>
      <c r="X20" s="94">
        <f t="shared" si="6"/>
        <v>-1.4038790399999999</v>
      </c>
      <c r="Y20" s="94">
        <f t="shared" si="7"/>
        <v>18.835377119999997</v>
      </c>
      <c r="Z20" s="94">
        <f t="shared" si="8"/>
        <v>39.07463328</v>
      </c>
      <c r="AA20" s="94">
        <f t="shared" si="9"/>
        <v>-583.54572096000004</v>
      </c>
      <c r="AB20" s="94">
        <f t="shared" si="10"/>
        <v>7829.2384228799992</v>
      </c>
      <c r="AC20" s="94">
        <f t="shared" si="11"/>
        <v>16242.022566720001</v>
      </c>
      <c r="AJ20" s="18"/>
      <c r="AK20">
        <v>39</v>
      </c>
      <c r="AL20" s="34">
        <f t="shared" si="12"/>
        <v>4.4520547945205479E-3</v>
      </c>
      <c r="AM20" s="34">
        <f t="shared" si="0"/>
        <v>0.9955479452054794</v>
      </c>
      <c r="AN20" s="94">
        <f t="shared" si="13"/>
        <v>-2.5979775248219181</v>
      </c>
      <c r="AO20" s="94">
        <f t="shared" si="14"/>
        <v>-1.2989887624109591</v>
      </c>
      <c r="AP20" s="94">
        <f t="shared" si="15"/>
        <v>-582.24673219758904</v>
      </c>
      <c r="AQ20" s="27"/>
      <c r="AR20" s="27"/>
      <c r="AS20" s="94">
        <f t="shared" si="16"/>
        <v>34.856198458027393</v>
      </c>
      <c r="AT20" s="94">
        <f t="shared" si="17"/>
        <v>17.428099229013696</v>
      </c>
      <c r="AU20" s="27">
        <f t="shared" si="18"/>
        <v>7811.8103236509851</v>
      </c>
      <c r="AV20" s="27"/>
      <c r="AW20" s="27"/>
      <c r="AX20" s="94">
        <f t="shared" si="19"/>
        <v>72.310374440876714</v>
      </c>
      <c r="AY20" s="94">
        <f t="shared" si="20"/>
        <v>36.155187220438357</v>
      </c>
      <c r="AZ20" s="27">
        <f t="shared" si="21"/>
        <v>16205.867379499561</v>
      </c>
      <c r="BA20" s="27"/>
      <c r="BB20" s="27"/>
      <c r="BC20" s="18"/>
      <c r="BG20" s="3"/>
      <c r="BJ20" s="3"/>
      <c r="BM20" s="3"/>
      <c r="BP20" s="117"/>
      <c r="BQ20" t="s">
        <v>270</v>
      </c>
      <c r="BT20" s="3"/>
      <c r="BW20" s="3"/>
      <c r="BZ20" s="3"/>
      <c r="CC20" s="121"/>
      <c r="CF20" s="27"/>
      <c r="CG20" s="27"/>
      <c r="CH20" s="27"/>
      <c r="CI20" s="27"/>
      <c r="CJ20" s="27"/>
      <c r="CK20" s="27"/>
      <c r="CL20" s="27"/>
      <c r="CM20" s="27"/>
      <c r="CN20" s="27"/>
      <c r="CO20" s="27"/>
      <c r="CP20" s="27"/>
      <c r="CQ20" s="27"/>
      <c r="CR20" s="27"/>
      <c r="CS20" s="27"/>
      <c r="CT20" s="27"/>
      <c r="CU20" s="27"/>
      <c r="CV20" s="27"/>
      <c r="CW20" s="27"/>
      <c r="CX20" s="121"/>
      <c r="DA20" s="27"/>
      <c r="DB20" s="27"/>
      <c r="DC20" s="27"/>
      <c r="DD20" s="27"/>
      <c r="DE20" s="27"/>
      <c r="DF20" s="27"/>
      <c r="DG20" s="27"/>
      <c r="DH20" s="27"/>
      <c r="DI20" s="27"/>
      <c r="DJ20" s="27"/>
      <c r="DK20" s="27"/>
      <c r="DL20" s="27"/>
      <c r="DM20" s="27"/>
      <c r="DN20" s="27"/>
      <c r="DO20" s="27"/>
      <c r="DP20" s="27"/>
      <c r="DQ20" s="27"/>
      <c r="DR20" s="27"/>
      <c r="DS20" s="121"/>
      <c r="DW20" s="211"/>
      <c r="DY20" s="212"/>
      <c r="DZ20" s="213"/>
      <c r="EA20" s="212"/>
      <c r="EB20" s="212"/>
      <c r="EC20" s="227"/>
      <c r="EG20" s="211"/>
      <c r="EI20" s="212"/>
      <c r="EJ20" s="213"/>
      <c r="EK20" s="212"/>
      <c r="EL20" s="219"/>
      <c r="EP20" s="211"/>
      <c r="ER20" s="212"/>
      <c r="ES20" s="213"/>
      <c r="ET20" s="212"/>
      <c r="EU20" s="219"/>
    </row>
    <row r="21" spans="1:152" x14ac:dyDescent="0.2">
      <c r="A21" s="3" t="s">
        <v>43</v>
      </c>
      <c r="B21">
        <v>1760</v>
      </c>
      <c r="C21">
        <v>7</v>
      </c>
      <c r="D21">
        <v>0.78</v>
      </c>
      <c r="F21" t="s">
        <v>44</v>
      </c>
      <c r="G21" t="s">
        <v>30</v>
      </c>
      <c r="H21" s="20"/>
      <c r="I21" s="21"/>
      <c r="J21">
        <v>7</v>
      </c>
      <c r="K21" s="34">
        <f t="shared" si="2"/>
        <v>-7.9315200000000008</v>
      </c>
      <c r="L21" s="34">
        <f t="shared" si="22"/>
        <v>106.41455999999999</v>
      </c>
      <c r="M21" s="34">
        <f t="shared" si="3"/>
        <v>220.76064</v>
      </c>
      <c r="N21">
        <v>0.78</v>
      </c>
      <c r="O21" s="27">
        <f t="shared" si="4"/>
        <v>-43.306099200000006</v>
      </c>
      <c r="P21" s="27">
        <f t="shared" si="23"/>
        <v>581.02349760000004</v>
      </c>
      <c r="Q21" s="27">
        <f t="shared" si="5"/>
        <v>1205.3530944000001</v>
      </c>
      <c r="R21" s="27"/>
      <c r="S21" s="27"/>
      <c r="T21" s="27"/>
      <c r="U21" s="18"/>
      <c r="V21">
        <v>2.3999999999999998E-3</v>
      </c>
      <c r="W21">
        <v>0.99760000000000004</v>
      </c>
      <c r="X21" s="94">
        <f t="shared" si="6"/>
        <v>-0.10393463808</v>
      </c>
      <c r="Y21" s="94">
        <f t="shared" si="7"/>
        <v>1.3944563942399999</v>
      </c>
      <c r="Z21" s="94">
        <f t="shared" si="8"/>
        <v>2.8928474265599999</v>
      </c>
      <c r="AA21" s="94">
        <f t="shared" si="9"/>
        <v>-43.202164561920007</v>
      </c>
      <c r="AB21" s="94">
        <f t="shared" si="10"/>
        <v>579.62904120576002</v>
      </c>
      <c r="AC21" s="94">
        <f t="shared" si="11"/>
        <v>1202.4602469734402</v>
      </c>
      <c r="AJ21" s="18"/>
      <c r="AK21">
        <v>2027</v>
      </c>
      <c r="AL21" s="34">
        <f t="shared" si="12"/>
        <v>0.23139269406392693</v>
      </c>
      <c r="AM21" s="34">
        <f t="shared" si="0"/>
        <v>0.76860730593607307</v>
      </c>
      <c r="AN21" s="94">
        <f t="shared" si="13"/>
        <v>-9.9966652473757822</v>
      </c>
      <c r="AO21" s="94">
        <f t="shared" si="14"/>
        <v>-4.9983326236878911</v>
      </c>
      <c r="AP21" s="94">
        <f t="shared" si="15"/>
        <v>-38.203831938232121</v>
      </c>
      <c r="AQ21" s="27"/>
      <c r="AR21" s="27"/>
      <c r="AS21" s="94">
        <f t="shared" si="16"/>
        <v>134.12192540229174</v>
      </c>
      <c r="AT21" s="94">
        <f t="shared" si="17"/>
        <v>67.060962701145868</v>
      </c>
      <c r="AU21" s="27">
        <f t="shared" si="18"/>
        <v>512.56807850461416</v>
      </c>
      <c r="AV21" s="27"/>
      <c r="AW21" s="27"/>
      <c r="AX21" s="94">
        <f t="shared" si="19"/>
        <v>278.24051605195928</v>
      </c>
      <c r="AY21" s="94">
        <f t="shared" si="20"/>
        <v>139.12025802597964</v>
      </c>
      <c r="AZ21" s="27">
        <f t="shared" si="21"/>
        <v>1063.3399889474606</v>
      </c>
      <c r="BA21" s="27"/>
      <c r="BB21" s="27"/>
      <c r="BC21" s="18"/>
      <c r="BG21" s="3"/>
      <c r="BJ21" s="3"/>
      <c r="BM21" s="3"/>
      <c r="BP21" s="117"/>
      <c r="BT21" s="3"/>
      <c r="BW21" s="3"/>
      <c r="BZ21" s="3"/>
      <c r="CC21" s="121"/>
      <c r="CF21" s="27"/>
      <c r="CG21" s="27"/>
      <c r="CH21" s="27"/>
      <c r="CI21" s="27"/>
      <c r="CJ21" s="27"/>
      <c r="CK21" s="27"/>
      <c r="CL21" s="27"/>
      <c r="CM21" s="27"/>
      <c r="CN21" s="27"/>
      <c r="CO21" s="27"/>
      <c r="CP21" s="27"/>
      <c r="CQ21" s="27"/>
      <c r="CR21" s="27"/>
      <c r="CS21" s="27"/>
      <c r="CT21" s="27"/>
      <c r="CU21" s="27"/>
      <c r="CV21" s="27"/>
      <c r="CW21" s="27"/>
      <c r="CX21" s="121"/>
      <c r="DA21" s="27"/>
      <c r="DB21" s="27"/>
      <c r="DC21" s="27"/>
      <c r="DD21" s="27"/>
      <c r="DE21" s="27"/>
      <c r="DF21" s="27"/>
      <c r="DG21" s="27"/>
      <c r="DH21" s="27"/>
      <c r="DI21" s="27"/>
      <c r="DJ21" s="27"/>
      <c r="DK21" s="27"/>
      <c r="DL21" s="27"/>
      <c r="DM21" s="27"/>
      <c r="DN21" s="27"/>
      <c r="DO21" s="27"/>
      <c r="DP21" s="27"/>
      <c r="DQ21" s="27"/>
      <c r="DR21" s="27"/>
      <c r="DS21" s="121"/>
      <c r="DW21" s="211"/>
      <c r="DY21" s="212"/>
      <c r="DZ21" s="213"/>
      <c r="EA21" s="212"/>
      <c r="EB21" s="212"/>
      <c r="EC21" s="227"/>
      <c r="EG21" s="211"/>
      <c r="EI21" s="212"/>
      <c r="EJ21" s="213"/>
      <c r="EK21" s="212"/>
      <c r="EL21" s="219"/>
      <c r="EP21" s="211"/>
      <c r="ER21" s="212"/>
      <c r="ES21" s="213"/>
      <c r="ET21" s="212"/>
      <c r="EU21" s="219"/>
    </row>
    <row r="22" spans="1:152" x14ac:dyDescent="0.2">
      <c r="A22" s="3" t="s">
        <v>45</v>
      </c>
      <c r="B22">
        <v>1760</v>
      </c>
      <c r="C22">
        <v>7</v>
      </c>
      <c r="D22">
        <v>14.26</v>
      </c>
      <c r="F22" t="s">
        <v>44</v>
      </c>
      <c r="G22" t="s">
        <v>30</v>
      </c>
      <c r="H22" s="20"/>
      <c r="I22" s="21"/>
      <c r="J22">
        <v>7</v>
      </c>
      <c r="K22" s="34">
        <f t="shared" si="2"/>
        <v>-7.9315200000000008</v>
      </c>
      <c r="L22" s="34">
        <f t="shared" si="22"/>
        <v>106.41455999999999</v>
      </c>
      <c r="M22" s="34">
        <f t="shared" si="3"/>
        <v>220.76064</v>
      </c>
      <c r="N22">
        <v>14.26</v>
      </c>
      <c r="O22" s="27">
        <f t="shared" si="4"/>
        <v>-791.72432640000011</v>
      </c>
      <c r="P22" s="27">
        <f t="shared" si="23"/>
        <v>10622.3013792</v>
      </c>
      <c r="Q22" s="27">
        <f t="shared" si="5"/>
        <v>22036.327084799999</v>
      </c>
      <c r="R22" s="27"/>
      <c r="S22" s="27"/>
      <c r="T22" s="27"/>
      <c r="U22" s="18"/>
      <c r="V22">
        <v>2.3999999999999998E-3</v>
      </c>
      <c r="W22">
        <v>0.99760000000000004</v>
      </c>
      <c r="X22" s="94">
        <f t="shared" si="6"/>
        <v>-1.9001383833600001</v>
      </c>
      <c r="Y22" s="94">
        <f t="shared" si="7"/>
        <v>25.493523310079997</v>
      </c>
      <c r="Z22" s="94">
        <f t="shared" si="8"/>
        <v>52.887185003519996</v>
      </c>
      <c r="AA22" s="94">
        <f t="shared" si="9"/>
        <v>-789.82418801664016</v>
      </c>
      <c r="AB22" s="94">
        <f t="shared" si="10"/>
        <v>10596.807855889921</v>
      </c>
      <c r="AC22" s="94">
        <f t="shared" si="11"/>
        <v>21983.439899796482</v>
      </c>
      <c r="AJ22" s="18"/>
      <c r="AK22">
        <v>1086</v>
      </c>
      <c r="AL22" s="34">
        <f>$AK22/8760</f>
        <v>0.12397260273972603</v>
      </c>
      <c r="AM22" s="34">
        <f t="shared" si="0"/>
        <v>0.87602739726027401</v>
      </c>
      <c r="AN22" s="94">
        <f t="shared" si="13"/>
        <v>-97.916560295213614</v>
      </c>
      <c r="AO22" s="94">
        <f t="shared" si="14"/>
        <v>-48.958280147606807</v>
      </c>
      <c r="AP22" s="94">
        <f t="shared" si="15"/>
        <v>-740.86590786903344</v>
      </c>
      <c r="AQ22" s="27"/>
      <c r="AR22" s="27"/>
      <c r="AS22" s="94">
        <f t="shared" si="16"/>
        <v>1313.7138506274491</v>
      </c>
      <c r="AT22" s="94">
        <f t="shared" si="17"/>
        <v>656.85692531372456</v>
      </c>
      <c r="AU22" s="27">
        <f t="shared" si="18"/>
        <v>9939.9509305761967</v>
      </c>
      <c r="AV22" s="27"/>
      <c r="AW22" s="27"/>
      <c r="AX22" s="94">
        <f t="shared" si="19"/>
        <v>2725.3442615501117</v>
      </c>
      <c r="AY22" s="94">
        <f t="shared" si="20"/>
        <v>1362.6721307750558</v>
      </c>
      <c r="AZ22" s="27">
        <f t="shared" si="21"/>
        <v>20620.767769021426</v>
      </c>
      <c r="BA22" s="27"/>
      <c r="BB22" s="27"/>
      <c r="BC22" s="18"/>
      <c r="BG22" s="3"/>
      <c r="BJ22" s="3"/>
      <c r="BM22" s="3"/>
      <c r="BP22" s="117"/>
      <c r="BT22" s="3"/>
      <c r="BW22" s="3"/>
      <c r="BZ22" s="3"/>
      <c r="CC22" s="121"/>
      <c r="CF22" s="27"/>
      <c r="CG22" s="27"/>
      <c r="CH22" s="27"/>
      <c r="CI22" s="27"/>
      <c r="CJ22" s="27"/>
      <c r="CK22" s="27"/>
      <c r="CL22" s="27"/>
      <c r="CM22" s="27"/>
      <c r="CN22" s="27"/>
      <c r="CO22" s="27"/>
      <c r="CP22" s="27"/>
      <c r="CQ22" s="27"/>
      <c r="CR22" s="27"/>
      <c r="CS22" s="27"/>
      <c r="CT22" s="27"/>
      <c r="CU22" s="27"/>
      <c r="CV22" s="27"/>
      <c r="CW22" s="27"/>
      <c r="CX22" s="121"/>
      <c r="DA22" s="27"/>
      <c r="DB22" s="27"/>
      <c r="DC22" s="27"/>
      <c r="DD22" s="27"/>
      <c r="DE22" s="27"/>
      <c r="DF22" s="27"/>
      <c r="DG22" s="27"/>
      <c r="DH22" s="27"/>
      <c r="DI22" s="27"/>
      <c r="DJ22" s="27"/>
      <c r="DK22" s="27"/>
      <c r="DL22" s="27"/>
      <c r="DM22" s="27"/>
      <c r="DN22" s="27"/>
      <c r="DO22" s="27"/>
      <c r="DP22" s="27"/>
      <c r="DQ22" s="27"/>
      <c r="DR22" s="27"/>
      <c r="DS22" s="121"/>
      <c r="DW22" s="211"/>
      <c r="DY22" s="212"/>
      <c r="DZ22" s="213"/>
      <c r="EA22" s="212"/>
      <c r="EB22" s="212"/>
      <c r="EC22" s="227"/>
      <c r="EG22" s="211"/>
      <c r="EI22" s="212"/>
      <c r="EJ22" s="213"/>
      <c r="EK22" s="212"/>
      <c r="EL22" s="219"/>
      <c r="EP22" s="211"/>
      <c r="ER22" s="212"/>
      <c r="ES22" s="213"/>
      <c r="ET22" s="212"/>
      <c r="EU22" s="219"/>
    </row>
    <row r="23" spans="1:152" x14ac:dyDescent="0.2">
      <c r="A23" s="3"/>
      <c r="E23" s="11"/>
      <c r="H23" s="20"/>
      <c r="I23" s="21"/>
      <c r="K23" s="34"/>
      <c r="L23" s="34"/>
      <c r="M23" s="34"/>
      <c r="U23" s="18"/>
      <c r="AJ23" s="18"/>
      <c r="BC23" s="18"/>
      <c r="BG23" s="3"/>
      <c r="BJ23" s="3"/>
      <c r="BM23" s="3"/>
      <c r="BP23" s="117"/>
      <c r="BT23" s="3"/>
      <c r="BW23" s="3"/>
      <c r="BZ23" s="3"/>
      <c r="CC23" s="121"/>
      <c r="CF23" s="27"/>
      <c r="CG23" s="27"/>
      <c r="CH23" s="27"/>
      <c r="CI23" s="27"/>
      <c r="CJ23" s="27"/>
      <c r="CK23" s="27"/>
      <c r="CL23" s="27"/>
      <c r="CM23" s="27"/>
      <c r="CN23" s="27"/>
      <c r="CO23" s="27"/>
      <c r="CP23" s="27"/>
      <c r="CQ23" s="27"/>
      <c r="CR23" s="27"/>
      <c r="CS23" s="27"/>
      <c r="CT23" s="27"/>
      <c r="CU23" s="27"/>
      <c r="CV23" s="27"/>
      <c r="CW23" s="27"/>
      <c r="CX23" s="121"/>
      <c r="DA23" s="27"/>
      <c r="DB23" s="27"/>
      <c r="DC23" s="27"/>
      <c r="DD23" s="27"/>
      <c r="DE23" s="27"/>
      <c r="DF23" s="27"/>
      <c r="DG23" s="27"/>
      <c r="DH23" s="27"/>
      <c r="DI23" s="27"/>
      <c r="DJ23" s="27"/>
      <c r="DK23" s="27"/>
      <c r="DL23" s="27"/>
      <c r="DM23" s="27"/>
      <c r="DN23" s="27"/>
      <c r="DO23" s="27"/>
      <c r="DP23" s="27"/>
      <c r="DQ23" s="27"/>
      <c r="DR23" s="27"/>
      <c r="DS23" s="121"/>
      <c r="DW23" s="211"/>
      <c r="DY23" s="212"/>
      <c r="DZ23" s="213"/>
      <c r="EA23" s="212"/>
      <c r="EB23" s="212"/>
      <c r="EC23" s="227"/>
      <c r="EG23" s="211"/>
      <c r="EI23" s="212"/>
      <c r="EJ23" s="213"/>
      <c r="EK23" s="212"/>
      <c r="EL23" s="219"/>
      <c r="EP23" s="211"/>
      <c r="ER23" s="212"/>
      <c r="ES23" s="213"/>
      <c r="ET23" s="212"/>
      <c r="EU23" s="219"/>
    </row>
    <row r="24" spans="1:152" ht="19" x14ac:dyDescent="0.25">
      <c r="A24" s="24" t="s">
        <v>134</v>
      </c>
      <c r="B24" s="11"/>
      <c r="C24" s="11"/>
      <c r="D24" s="11"/>
      <c r="E24" s="11"/>
      <c r="F24" s="11"/>
      <c r="G24" s="11"/>
      <c r="H24" s="20"/>
      <c r="I24" s="21"/>
      <c r="J24" s="11"/>
      <c r="K24" s="223"/>
      <c r="L24" s="223"/>
      <c r="M24" s="223"/>
      <c r="N24" s="11"/>
      <c r="O24" s="11"/>
      <c r="P24" s="11"/>
      <c r="Q24" s="11"/>
      <c r="R24" s="11"/>
      <c r="S24" s="11"/>
      <c r="T24" s="11"/>
      <c r="U24" s="18"/>
      <c r="AJ24" s="18"/>
      <c r="AK24" s="11"/>
      <c r="AL24" s="11"/>
      <c r="AM24" s="11"/>
      <c r="AN24" s="11"/>
      <c r="AO24" s="11"/>
      <c r="AP24" s="11"/>
      <c r="AQ24" s="11"/>
      <c r="AR24" s="11"/>
      <c r="AS24" s="11"/>
      <c r="AT24" s="11"/>
      <c r="AU24" s="11"/>
      <c r="AV24" s="11"/>
      <c r="AW24" s="11"/>
      <c r="AX24" s="11"/>
      <c r="AY24" s="11"/>
      <c r="AZ24" s="11"/>
      <c r="BA24" s="11"/>
      <c r="BB24" s="11"/>
      <c r="BC24" s="18"/>
      <c r="BD24" s="11"/>
      <c r="BE24" s="11"/>
      <c r="BF24" s="11"/>
      <c r="BG24" s="48"/>
      <c r="BH24" s="11"/>
      <c r="BI24" s="11"/>
      <c r="BJ24" s="48"/>
      <c r="BK24" s="11"/>
      <c r="BL24" s="11"/>
      <c r="BM24" s="48"/>
      <c r="BN24" s="11"/>
      <c r="BO24" s="11"/>
      <c r="BP24" s="117"/>
      <c r="BQ24" s="48"/>
      <c r="BR24" s="11"/>
      <c r="BS24" s="11"/>
      <c r="BT24" s="48"/>
      <c r="BU24" s="11"/>
      <c r="BV24" s="11"/>
      <c r="BW24" s="48"/>
      <c r="BX24" s="11"/>
      <c r="BY24" s="11"/>
      <c r="BZ24" s="48"/>
      <c r="CA24" s="11"/>
      <c r="CB24" s="11"/>
      <c r="CC24" s="121"/>
      <c r="CD24" s="48"/>
      <c r="CE24" s="125"/>
      <c r="CF24" s="139"/>
      <c r="CG24" s="139"/>
      <c r="CH24" s="139"/>
      <c r="CI24" s="139"/>
      <c r="CJ24" s="139"/>
      <c r="CK24" s="174"/>
      <c r="CL24" s="139"/>
      <c r="CM24" s="139"/>
      <c r="CN24" s="139"/>
      <c r="CO24" s="139"/>
      <c r="CP24" s="139"/>
      <c r="CQ24" s="174"/>
      <c r="CR24" s="139"/>
      <c r="CS24" s="139"/>
      <c r="CT24" s="139"/>
      <c r="CU24" s="139"/>
      <c r="CV24" s="139"/>
      <c r="CW24" s="139"/>
      <c r="CX24" s="121"/>
      <c r="CY24" s="139"/>
      <c r="CZ24" s="139"/>
      <c r="DA24" s="139"/>
      <c r="DB24" s="139"/>
      <c r="DC24" s="139"/>
      <c r="DD24" s="139"/>
      <c r="DE24" s="139"/>
      <c r="DF24" s="139"/>
      <c r="DG24" s="139"/>
      <c r="DH24" s="139"/>
      <c r="DI24" s="139"/>
      <c r="DJ24" s="139"/>
      <c r="DK24" s="139"/>
      <c r="DL24" s="139"/>
      <c r="DM24" s="139"/>
      <c r="DN24" s="139"/>
      <c r="DO24" s="139"/>
      <c r="DP24" s="139"/>
      <c r="DQ24" s="139"/>
      <c r="DR24" s="139"/>
      <c r="DS24" s="121"/>
      <c r="DT24" s="11"/>
      <c r="DU24" s="11"/>
      <c r="DV24" s="39"/>
      <c r="DW24" s="214"/>
      <c r="DX24" s="175"/>
      <c r="DY24" s="202"/>
      <c r="DZ24" s="215"/>
      <c r="EA24" s="202"/>
      <c r="EB24" s="202"/>
      <c r="EC24" s="227"/>
      <c r="ED24" s="175"/>
      <c r="EE24" s="175"/>
      <c r="EF24" s="202"/>
      <c r="EG24" s="214"/>
      <c r="EH24" s="175"/>
      <c r="EI24" s="202"/>
      <c r="EJ24" s="215"/>
      <c r="EK24" s="202"/>
      <c r="EL24" s="216"/>
      <c r="EM24" s="175"/>
      <c r="EN24" s="175"/>
      <c r="EO24" s="202"/>
      <c r="EP24" s="214"/>
      <c r="EQ24" s="175"/>
      <c r="ER24" s="202"/>
      <c r="ES24" s="215"/>
      <c r="ET24" s="202"/>
      <c r="EU24" s="216"/>
    </row>
    <row r="25" spans="1:152" x14ac:dyDescent="0.2">
      <c r="A25" s="3" t="s">
        <v>47</v>
      </c>
      <c r="B25">
        <v>1362</v>
      </c>
      <c r="C25">
        <v>101</v>
      </c>
      <c r="D25">
        <v>14.28</v>
      </c>
      <c r="E25">
        <v>0.57999999999999996</v>
      </c>
      <c r="F25" s="2">
        <f t="shared" ref="F25:F36" si="24">B25*E25</f>
        <v>789.95999999999992</v>
      </c>
      <c r="G25" t="s">
        <v>11</v>
      </c>
      <c r="H25" s="20"/>
      <c r="I25" s="21"/>
      <c r="J25">
        <v>790</v>
      </c>
      <c r="K25" s="34">
        <f t="shared" ref="K25:K50" si="25" xml:space="preserve"> -0.012 * 6 * 110.16</f>
        <v>-7.9315200000000008</v>
      </c>
      <c r="L25" s="34">
        <f xml:space="preserve"> 0.966 * 110.16</f>
        <v>106.41455999999999</v>
      </c>
      <c r="M25" s="34">
        <f t="shared" ref="M25:M50" si="26" xml:space="preserve"> 0.334 * 6 * 110.16</f>
        <v>220.76064</v>
      </c>
      <c r="N25">
        <v>14.28</v>
      </c>
      <c r="O25" s="27">
        <f t="shared" ref="O25:O50" si="27">$J25*$K25*$N25</f>
        <v>-89477.063424000007</v>
      </c>
      <c r="P25" s="27">
        <f t="shared" ref="P25:P50" si="28">J25*L25*N25</f>
        <v>1200483.9342719999</v>
      </c>
      <c r="Q25" s="27">
        <f t="shared" ref="Q25:Q50" si="29">$J25*$M25*$N25</f>
        <v>2490444.9319679998</v>
      </c>
      <c r="R25" s="27">
        <f>$O25+$O26+$O27+$O28+$O29+$O30+$O31+$O32+$O33+$O34+$O35+$O36+$O37+$O38+$O39+$O40+$O41+$O42+$O43+$O44+$O45+$O46+$O47+$O48+$O49+$O50</f>
        <v>-354777.04823040002</v>
      </c>
      <c r="S25" s="27">
        <f>P25+P26+P27+P28+P29+P30+P31+P32+P33+P34+P35+P36+P37+P38+P39+P40+P41+P42+P43+P44+P45+P46+P47+P48+P49+P50</f>
        <v>4759925.3970912006</v>
      </c>
      <c r="T25" s="27">
        <f>Q25+Q26+Q27+Q28+Q29+Q30+Q31+Q32+Q33+Q34+Q35+Q36+Q37+Q38+Q39+Q40+Q41+Q42+Q43+Q44+Q45+Q46+Q47+Q48+Q49+Q50</f>
        <v>9874627.8424127996</v>
      </c>
      <c r="U25" s="18"/>
      <c r="V25">
        <v>2.3999999999999998E-3</v>
      </c>
      <c r="W25">
        <v>0.99760000000000004</v>
      </c>
      <c r="X25" s="94">
        <f t="shared" ref="X25:X50" si="30" xml:space="preserve"> O25 * V25</f>
        <v>-214.7449522176</v>
      </c>
      <c r="Y25" s="94">
        <f t="shared" ref="Y25:Y50" si="31" xml:space="preserve"> P25 * V25</f>
        <v>2881.1614422527996</v>
      </c>
      <c r="Z25" s="94">
        <f t="shared" ref="Z25:Z50" si="32" xml:space="preserve"> Q25 * V25</f>
        <v>5977.0678367231985</v>
      </c>
      <c r="AA25" s="94">
        <f t="shared" ref="AA25:AA50" si="33" xml:space="preserve"> O25 * W25</f>
        <v>-89262.318471782404</v>
      </c>
      <c r="AB25" s="94">
        <f t="shared" ref="AB25:AB50" si="34" xml:space="preserve"> P25 * W25</f>
        <v>1197602.7728297471</v>
      </c>
      <c r="AC25" s="94">
        <f t="shared" ref="AC25:AC50" si="35" xml:space="preserve"> Q25 * W25</f>
        <v>2484467.8641312765</v>
      </c>
      <c r="AD25" s="27">
        <f xml:space="preserve"> R25 * V25</f>
        <v>-851.46491575296</v>
      </c>
      <c r="AE25" s="27">
        <f xml:space="preserve"> S25 * V25</f>
        <v>11423.82095301888</v>
      </c>
      <c r="AF25" s="27">
        <f xml:space="preserve"> T25 * V25</f>
        <v>23699.106821790716</v>
      </c>
      <c r="AG25" s="27">
        <f xml:space="preserve"> R25 * W25</f>
        <v>-353925.58331464708</v>
      </c>
      <c r="AH25" s="27">
        <f xml:space="preserve"> S25 * W25</f>
        <v>4748501.5761381816</v>
      </c>
      <c r="AI25" s="27">
        <f xml:space="preserve"> T25  * W25</f>
        <v>9850928.7355910093</v>
      </c>
      <c r="AJ25" s="18"/>
      <c r="AK25">
        <v>426</v>
      </c>
      <c r="AL25" s="34">
        <f>$AK25/8760</f>
        <v>4.8630136986301371E-2</v>
      </c>
      <c r="AM25" s="34">
        <f t="shared" ref="AM25:AM35" si="36">1- AL25</f>
        <v>0.95136986301369864</v>
      </c>
      <c r="AN25" s="94">
        <f t="shared" ref="AN25:AN50" si="37">$AA25*$AL25</f>
        <v>-4340.8387749976373</v>
      </c>
      <c r="AO25" s="94">
        <f t="shared" ref="AO25:AO35" si="38" xml:space="preserve"> AN25 / 2</f>
        <v>-2170.4193874988187</v>
      </c>
      <c r="AP25" s="94">
        <f t="shared" ref="AP25:AP35" si="39">$AA25*$AM25 + AO25</f>
        <v>-87091.899084283577</v>
      </c>
      <c r="AQ25" s="27">
        <f xml:space="preserve"> SUM(AO25:AO50)</f>
        <v>-3797.7468406444327</v>
      </c>
      <c r="AR25" s="27">
        <f xml:space="preserve"> SUM(AP25:AP50)</f>
        <v>-350127.83647400257</v>
      </c>
      <c r="AS25" s="94">
        <f t="shared" ref="AS25:AS35" si="40">$AL25*$AB25</f>
        <v>58239.586897884961</v>
      </c>
      <c r="AT25" s="94">
        <f t="shared" ref="AT25:AT35" si="41" xml:space="preserve"> AS25 / 2</f>
        <v>29119.793448942481</v>
      </c>
      <c r="AU25" s="27">
        <f t="shared" ref="AU25:AU35" si="42">$AM25*$AB25 + AT25</f>
        <v>1168482.9793808046</v>
      </c>
      <c r="AV25" s="27">
        <f>SUM(AT25:AT50)</f>
        <v>50953.103445312787</v>
      </c>
      <c r="AW25" s="27">
        <f>$AU25+$AU26+$AU27+$AU28+$AU29+$AU30+$AU31+$AU32+$AU33+$AU34+$AU35+$AU36+$AU37+$AU38+$AU39+$AU40+$AU41+$AU42+$AU43+$AU44+$AU45+$AU46+$AU47+$AU$48+$AU49+$AU50</f>
        <v>4697548.4726928687</v>
      </c>
      <c r="AX25" s="94">
        <f t="shared" ref="AX25:AX50" si="43">$AL25*$AC25</f>
        <v>120820.01257076756</v>
      </c>
      <c r="AY25" s="94">
        <f t="shared" ref="AY25:AY35" si="44" xml:space="preserve"> AX25 / 2</f>
        <v>60410.006285383781</v>
      </c>
      <c r="AZ25" s="27">
        <f t="shared" ref="AZ25:AZ35" si="45">$AM25*$AC25 + AY25</f>
        <v>2424057.8578458927</v>
      </c>
      <c r="BA25" s="27">
        <f>SUM(AY25:AY50)</f>
        <v>105703.95373127001</v>
      </c>
      <c r="BB25" s="27">
        <f>$AZ25+$AZ26+$AZ27+$AZ28+$AZ29+$AZ30+$AZ31+$AZ32+$AZ33+$AZ34+$AZ35+$AZ36+$AZ37+$AZ38+$AZ39+$AZ40+$AZ41+$AZ42+$AZ43+$AZ44+$AZ45+$AZ46+$AZ47+$AZ48+$AZ49+$AZ50</f>
        <v>9745224.7818597388</v>
      </c>
      <c r="BC25" s="18"/>
      <c r="BD25" s="34">
        <v>0.1152</v>
      </c>
      <c r="BE25" s="34">
        <v>5.4199999999999998E-2</v>
      </c>
      <c r="BF25">
        <v>2.3E-2</v>
      </c>
      <c r="BG25" s="47">
        <f>$AR25*$BD25</f>
        <v>-40334.726761805097</v>
      </c>
      <c r="BH25" s="27">
        <f>$AR25*$BE25</f>
        <v>-18976.928736890939</v>
      </c>
      <c r="BI25" s="27">
        <f>$AR25*$BF25</f>
        <v>-8052.9402389020588</v>
      </c>
      <c r="BJ25" s="47">
        <f>$AW25*$BD25</f>
        <v>541157.58405421849</v>
      </c>
      <c r="BK25" s="27">
        <f>$AW25*$BE25</f>
        <v>254607.12721995349</v>
      </c>
      <c r="BL25" s="27">
        <f>$AW25*$BF25</f>
        <v>108043.61487193598</v>
      </c>
      <c r="BM25" s="47">
        <f>$BB25*$BD25</f>
        <v>1122649.8948702419</v>
      </c>
      <c r="BN25" s="27">
        <f>$BB25*$BE25</f>
        <v>528191.18317679781</v>
      </c>
      <c r="BO25" s="27">
        <f>$BB25*$BF25</f>
        <v>224140.16998277398</v>
      </c>
      <c r="BP25" s="117"/>
      <c r="BQ25" s="34">
        <f xml:space="preserve"> 1 - BD25</f>
        <v>0.88480000000000003</v>
      </c>
      <c r="BR25" s="34">
        <f xml:space="preserve"> 1 - BE25</f>
        <v>0.94579999999999997</v>
      </c>
      <c r="BS25">
        <f xml:space="preserve"> 1 - BF25</f>
        <v>0.97699999999999998</v>
      </c>
      <c r="BT25" s="47">
        <f xml:space="preserve"> AR25 * BQ25</f>
        <v>-309793.1097121975</v>
      </c>
      <c r="BU25" s="27">
        <f xml:space="preserve"> AR25 * BR25</f>
        <v>-331150.90773711161</v>
      </c>
      <c r="BV25" s="27">
        <f xml:space="preserve"> AR25 * BS25</f>
        <v>-342074.89623510052</v>
      </c>
      <c r="BW25" s="47">
        <f xml:space="preserve"> AW25 * BQ25</f>
        <v>4156390.8886386505</v>
      </c>
      <c r="BX25" s="27">
        <f xml:space="preserve"> AW25 * BR25</f>
        <v>4442941.3454729151</v>
      </c>
      <c r="BY25" s="27">
        <f xml:space="preserve"> AW25 * BS25</f>
        <v>4589504.8578209328</v>
      </c>
      <c r="BZ25" s="47">
        <f xml:space="preserve"> BB25 * BQ25</f>
        <v>8622574.8869894966</v>
      </c>
      <c r="CA25" s="27">
        <f xml:space="preserve"> BB25 * BR25</f>
        <v>9217033.59868294</v>
      </c>
      <c r="CB25" s="27">
        <f xml:space="preserve"> BB25 * BS25</f>
        <v>9521084.6118769646</v>
      </c>
      <c r="CC25" s="121"/>
      <c r="CD25">
        <f xml:space="preserve"> 1 - 0.32</f>
        <v>0.67999999999999994</v>
      </c>
      <c r="CE25">
        <f>1-0.68</f>
        <v>0.31999999999999995</v>
      </c>
      <c r="CF25" s="27">
        <f xml:space="preserve"> BT25 * CD25</f>
        <v>-210659.31460429428</v>
      </c>
      <c r="CG25" s="27">
        <f xml:space="preserve"> BT25 * CE25</f>
        <v>-99133.795107903192</v>
      </c>
      <c r="CH25" s="27">
        <f xml:space="preserve"> BU25 * CD25</f>
        <v>-225182.61726123586</v>
      </c>
      <c r="CI25" s="27">
        <f xml:space="preserve"> BU25 * CE25</f>
        <v>-105968.29047587571</v>
      </c>
      <c r="CJ25" s="27">
        <f xml:space="preserve"> BV25 * CD25</f>
        <v>-232610.92943986834</v>
      </c>
      <c r="CK25" s="27">
        <f xml:space="preserve"> BV25 * CE25</f>
        <v>-109463.96679523215</v>
      </c>
      <c r="CL25" s="27">
        <f xml:space="preserve"> BW25 * CD25</f>
        <v>2826345.804274282</v>
      </c>
      <c r="CM25" s="27">
        <f xml:space="preserve"> BW25 * CE25</f>
        <v>1330045.0843643679</v>
      </c>
      <c r="CN25" s="27">
        <f xml:space="preserve"> BX25 * CD25</f>
        <v>3021200.1149215819</v>
      </c>
      <c r="CO25" s="27">
        <f xml:space="preserve"> BX25 * CE25</f>
        <v>1421741.2305513327</v>
      </c>
      <c r="CP25" s="27">
        <f xml:space="preserve"> BY25 * CD25</f>
        <v>3120863.3033182342</v>
      </c>
      <c r="CQ25" s="27">
        <f xml:space="preserve"> BY25 * CE25</f>
        <v>1468641.5545026984</v>
      </c>
      <c r="CR25" s="27">
        <f xml:space="preserve"> BZ25 * CD25</f>
        <v>5863350.9231528575</v>
      </c>
      <c r="CS25" s="27">
        <f xml:space="preserve"> BZ25 * CE25</f>
        <v>2759223.9638366387</v>
      </c>
      <c r="CT25" s="27">
        <f xml:space="preserve"> CA25 * CD25</f>
        <v>6267582.8471043985</v>
      </c>
      <c r="CU25" s="27">
        <f xml:space="preserve"> CA25 * CE25</f>
        <v>2949450.7515785405</v>
      </c>
      <c r="CV25" s="27">
        <f xml:space="preserve"> CB25 * CD25</f>
        <v>6474337.5360763352</v>
      </c>
      <c r="CW25" s="27">
        <f xml:space="preserve"> CB25 * CE25</f>
        <v>3046747.0758006284</v>
      </c>
      <c r="CX25" s="121"/>
      <c r="CY25">
        <f xml:space="preserve"> 1 - 0.01</f>
        <v>0.99</v>
      </c>
      <c r="CZ25">
        <v>0.73</v>
      </c>
      <c r="DA25" s="27">
        <f xml:space="preserve"> CF25 * CY25</f>
        <v>-208552.72145825133</v>
      </c>
      <c r="DB25" s="27">
        <f xml:space="preserve"> CH25 * CY25</f>
        <v>-222930.79108862349</v>
      </c>
      <c r="DC25" s="27">
        <f xml:space="preserve"> CJ25 * CY25</f>
        <v>-230284.82014546965</v>
      </c>
      <c r="DD25" s="27">
        <f xml:space="preserve"> CL25 * CY25</f>
        <v>2798082.3462315393</v>
      </c>
      <c r="DE25" s="27">
        <f xml:space="preserve"> CN25 * CY25</f>
        <v>2990988.1137723662</v>
      </c>
      <c r="DF25" s="27">
        <f xml:space="preserve"> CP25 * CY25</f>
        <v>3089654.6702850517</v>
      </c>
      <c r="DG25" s="27">
        <f xml:space="preserve"> CR25 * CY25</f>
        <v>5804717.4139213292</v>
      </c>
      <c r="DH25" s="27">
        <f xml:space="preserve"> CT25 * CY25</f>
        <v>6204907.0186333545</v>
      </c>
      <c r="DI25" s="27">
        <f xml:space="preserve"> CV25 * CY25</f>
        <v>6409594.1607155716</v>
      </c>
      <c r="DJ25" s="27">
        <f xml:space="preserve"> CF25 * CZ25</f>
        <v>-153781.29966113484</v>
      </c>
      <c r="DK25" s="27">
        <f xml:space="preserve"> CH25 * CZ25</f>
        <v>-164383.31060070219</v>
      </c>
      <c r="DL25" s="27">
        <f xml:space="preserve"> CJ25 * CZ25</f>
        <v>-169805.97849110389</v>
      </c>
      <c r="DM25" s="27">
        <f xml:space="preserve"> CL25 * CZ25</f>
        <v>2063232.4371202257</v>
      </c>
      <c r="DN25" s="27">
        <f xml:space="preserve"> CN25 * CZ25</f>
        <v>2205476.0838927547</v>
      </c>
      <c r="DO25" s="27">
        <f xml:space="preserve"> CP25 * CZ25</f>
        <v>2278230.2114223107</v>
      </c>
      <c r="DP25" s="27">
        <f xml:space="preserve"> CR25 * CZ25</f>
        <v>4280246.1739015859</v>
      </c>
      <c r="DQ25" s="27">
        <f xml:space="preserve"> CT25 * CZ25</f>
        <v>4575335.4783862112</v>
      </c>
      <c r="DR25" s="27">
        <f xml:space="preserve"> CV25 * CZ25</f>
        <v>4726266.4013357246</v>
      </c>
      <c r="DS25" s="121"/>
      <c r="DT25" s="27">
        <f>$BG25+$AV25</f>
        <v>10618.376683507689</v>
      </c>
      <c r="DU25" s="27">
        <f>$BH25+$AV25</f>
        <v>31976.174708421848</v>
      </c>
      <c r="DV25" s="27">
        <f>$BI25+$AV25</f>
        <v>42900.163206410725</v>
      </c>
      <c r="DW25" s="211">
        <f>$BJ25+$AV25</f>
        <v>592110.68749953131</v>
      </c>
      <c r="DX25" s="177">
        <f>$BK25+$AV25</f>
        <v>305560.23066526628</v>
      </c>
      <c r="DY25" s="212">
        <f>$BL25+$AV25</f>
        <v>158996.71831724877</v>
      </c>
      <c r="DZ25" s="213">
        <f>$BA25+$BM25</f>
        <v>1228353.8486015119</v>
      </c>
      <c r="EA25" s="212">
        <f>$BA25+$BN25</f>
        <v>633895.13690806786</v>
      </c>
      <c r="EB25" s="212">
        <f>$BA25+$BO25</f>
        <v>329844.12371404399</v>
      </c>
      <c r="EC25" s="227"/>
      <c r="ED25" s="177">
        <f xml:space="preserve"> DJ25 + DT25</f>
        <v>-143162.92297762714</v>
      </c>
      <c r="EE25" s="177">
        <f xml:space="preserve"> DK25 + DU25</f>
        <v>-132407.13589228035</v>
      </c>
      <c r="EF25" s="177">
        <f>DL25 + DV25</f>
        <v>-126905.81528469316</v>
      </c>
      <c r="EG25" s="211">
        <f t="shared" ref="EG25:EL25" si="46" xml:space="preserve"> DM25 + DW25</f>
        <v>2655343.1246197568</v>
      </c>
      <c r="EH25" s="177">
        <f xml:space="preserve"> DN25 + DX25</f>
        <v>2511036.3145580208</v>
      </c>
      <c r="EI25" s="212">
        <f t="shared" si="46"/>
        <v>2437226.9297395595</v>
      </c>
      <c r="EJ25" s="213">
        <f t="shared" si="46"/>
        <v>5508600.0225030975</v>
      </c>
      <c r="EK25" s="212">
        <f t="shared" si="46"/>
        <v>5209230.6152942795</v>
      </c>
      <c r="EL25" s="219">
        <f t="shared" si="46"/>
        <v>5056110.5250497684</v>
      </c>
      <c r="EM25" s="177">
        <f xml:space="preserve"> DT25 + DA25</f>
        <v>-197934.34477474363</v>
      </c>
      <c r="EN25" s="177">
        <f xml:space="preserve"> DB25 + DU25</f>
        <v>-190954.61638020165</v>
      </c>
      <c r="EO25" s="177">
        <f xml:space="preserve"> DV25 + DC25</f>
        <v>-187384.65693905891</v>
      </c>
      <c r="EP25" s="211">
        <f xml:space="preserve"> DD25 + DW25</f>
        <v>3390193.0337310703</v>
      </c>
      <c r="EQ25" s="177">
        <f xml:space="preserve"> DE25 + DX25</f>
        <v>3296548.3444376327</v>
      </c>
      <c r="ER25" s="212">
        <f xml:space="preserve"> DF25 + DY25</f>
        <v>3248651.3886023005</v>
      </c>
      <c r="ES25" s="213">
        <f xml:space="preserve"> DG25 + DZ25</f>
        <v>7033071.2625228409</v>
      </c>
      <c r="ET25" s="212">
        <f xml:space="preserve"> DH25 +EA25</f>
        <v>6838802.1555414218</v>
      </c>
      <c r="EU25" s="219">
        <f xml:space="preserve"> DI25 + EB25</f>
        <v>6739438.2844296154</v>
      </c>
    </row>
    <row r="26" spans="1:152" x14ac:dyDescent="0.2">
      <c r="A26" s="3" t="s">
        <v>48</v>
      </c>
      <c r="B26">
        <v>2369</v>
      </c>
      <c r="C26">
        <v>1327</v>
      </c>
      <c r="D26">
        <v>0.63</v>
      </c>
      <c r="E26">
        <v>0.32</v>
      </c>
      <c r="F26" s="2">
        <f t="shared" si="24"/>
        <v>758.08</v>
      </c>
      <c r="G26" t="s">
        <v>11</v>
      </c>
      <c r="H26" s="20"/>
      <c r="I26" s="21"/>
      <c r="J26">
        <v>758</v>
      </c>
      <c r="K26" s="34">
        <f t="shared" si="25"/>
        <v>-7.9315200000000008</v>
      </c>
      <c r="L26" s="34">
        <f t="shared" ref="L26:L50" si="47" xml:space="preserve"> 0.161 * 6 * 110.16</f>
        <v>106.41455999999999</v>
      </c>
      <c r="M26" s="34">
        <f t="shared" si="26"/>
        <v>220.76064</v>
      </c>
      <c r="N26">
        <v>0.63</v>
      </c>
      <c r="O26" s="27">
        <f t="shared" si="27"/>
        <v>-3787.6180608</v>
      </c>
      <c r="P26" s="27">
        <f t="shared" si="28"/>
        <v>50817.208982399992</v>
      </c>
      <c r="Q26" s="27">
        <f t="shared" si="29"/>
        <v>105422.03602559998</v>
      </c>
      <c r="R26" s="27"/>
      <c r="S26" s="27"/>
      <c r="T26" s="27"/>
      <c r="U26" s="18"/>
      <c r="V26">
        <v>2.3999999999999998E-3</v>
      </c>
      <c r="W26">
        <v>0.99760000000000004</v>
      </c>
      <c r="X26" s="94">
        <f t="shared" si="30"/>
        <v>-9.0902833459199996</v>
      </c>
      <c r="Y26" s="94">
        <f t="shared" si="31"/>
        <v>121.96130155775997</v>
      </c>
      <c r="Z26" s="94">
        <f t="shared" si="32"/>
        <v>253.01288646143993</v>
      </c>
      <c r="AA26" s="94">
        <f t="shared" si="33"/>
        <v>-3778.52777745408</v>
      </c>
      <c r="AB26" s="94">
        <f t="shared" si="34"/>
        <v>50695.247680842236</v>
      </c>
      <c r="AC26" s="94">
        <f t="shared" si="35"/>
        <v>105169.02313913855</v>
      </c>
      <c r="AJ26" s="18"/>
      <c r="AK26">
        <v>471</v>
      </c>
      <c r="AL26" s="34">
        <f t="shared" ref="AL26:AL50" si="48">$AK26/8760</f>
        <v>5.3767123287671234E-2</v>
      </c>
      <c r="AM26" s="34">
        <f t="shared" si="36"/>
        <v>0.94623287671232881</v>
      </c>
      <c r="AN26" s="94">
        <f t="shared" si="37"/>
        <v>-203.16056885626389</v>
      </c>
      <c r="AO26" s="94">
        <f t="shared" si="38"/>
        <v>-101.58028442813195</v>
      </c>
      <c r="AP26" s="94">
        <f t="shared" si="39"/>
        <v>-3676.9474930259485</v>
      </c>
      <c r="AQ26" s="27"/>
      <c r="AR26" s="27"/>
      <c r="AS26" s="94">
        <f t="shared" si="40"/>
        <v>2725.7376321548736</v>
      </c>
      <c r="AT26" s="94">
        <f t="shared" si="41"/>
        <v>1362.8688160774368</v>
      </c>
      <c r="AU26" s="27">
        <f t="shared" si="42"/>
        <v>49332.378864764803</v>
      </c>
      <c r="AW26" s="27"/>
      <c r="AX26" s="94">
        <f t="shared" si="43"/>
        <v>5654.6358331660113</v>
      </c>
      <c r="AY26" s="94">
        <f t="shared" si="44"/>
        <v>2827.3179165830056</v>
      </c>
      <c r="AZ26" s="27">
        <f t="shared" si="45"/>
        <v>102341.70522255555</v>
      </c>
      <c r="BA26" s="27"/>
      <c r="BB26" s="27"/>
      <c r="BC26" s="18"/>
      <c r="BP26" s="117"/>
      <c r="CC26" s="121"/>
      <c r="CF26" s="27"/>
      <c r="CG26" s="27"/>
      <c r="CH26" s="27"/>
      <c r="CI26" s="27"/>
      <c r="CJ26" s="27"/>
      <c r="CK26" s="27"/>
      <c r="CL26" s="27"/>
      <c r="CM26" s="27"/>
      <c r="CN26" s="27"/>
      <c r="CO26" s="27"/>
      <c r="CP26" s="27"/>
      <c r="CQ26" s="27"/>
      <c r="CR26" s="27"/>
      <c r="CS26" s="27"/>
      <c r="CT26" s="27"/>
      <c r="CU26" s="27"/>
      <c r="CV26" s="27"/>
      <c r="CW26" s="27"/>
      <c r="CX26" s="121"/>
      <c r="DA26" s="27"/>
      <c r="DB26" s="27"/>
      <c r="DC26" s="27"/>
      <c r="DD26" s="27"/>
      <c r="DE26" s="27"/>
      <c r="DF26" s="27"/>
      <c r="DG26" s="27"/>
      <c r="DH26" s="27"/>
      <c r="DI26" s="27"/>
      <c r="DJ26" s="27"/>
      <c r="DK26" s="27"/>
      <c r="DL26" s="27"/>
      <c r="DM26" s="27"/>
      <c r="DN26" s="27"/>
      <c r="DO26" s="27"/>
      <c r="DP26" s="27"/>
      <c r="DQ26" s="27"/>
      <c r="DR26" s="27"/>
      <c r="DS26" s="121"/>
      <c r="DY26" s="212"/>
      <c r="DZ26" s="212"/>
      <c r="EA26" s="212"/>
      <c r="EB26" s="212"/>
      <c r="EC26" s="212"/>
      <c r="ED26" s="212"/>
      <c r="EE26" s="212"/>
      <c r="EF26" s="212"/>
      <c r="EG26" s="212"/>
      <c r="EH26" s="212"/>
      <c r="EI26" s="212"/>
      <c r="EJ26" s="212"/>
      <c r="EK26" s="212"/>
      <c r="EL26" s="212"/>
      <c r="EM26" s="212"/>
      <c r="EN26" s="212"/>
      <c r="EO26" s="212"/>
      <c r="EP26" s="212"/>
      <c r="EQ26" s="212"/>
      <c r="ER26" s="212"/>
      <c r="ES26" s="212"/>
      <c r="ET26" s="212"/>
      <c r="EU26" s="212"/>
      <c r="EV26" s="38"/>
    </row>
    <row r="27" spans="1:152" x14ac:dyDescent="0.2">
      <c r="A27" s="3" t="s">
        <v>49</v>
      </c>
      <c r="B27">
        <v>1522</v>
      </c>
      <c r="C27">
        <v>1386</v>
      </c>
      <c r="D27">
        <v>1.43</v>
      </c>
      <c r="E27">
        <v>0.42299999999999999</v>
      </c>
      <c r="F27" s="2">
        <f t="shared" si="24"/>
        <v>643.80599999999993</v>
      </c>
      <c r="G27" t="s">
        <v>11</v>
      </c>
      <c r="H27" s="20"/>
      <c r="I27" s="21"/>
      <c r="J27">
        <v>644</v>
      </c>
      <c r="K27" s="34">
        <f t="shared" si="25"/>
        <v>-7.9315200000000008</v>
      </c>
      <c r="L27" s="34">
        <f t="shared" si="47"/>
        <v>106.41455999999999</v>
      </c>
      <c r="M27" s="34">
        <f t="shared" si="26"/>
        <v>220.76064</v>
      </c>
      <c r="N27">
        <v>1.43</v>
      </c>
      <c r="O27" s="27">
        <f t="shared" si="27"/>
        <v>-7304.2953984000005</v>
      </c>
      <c r="P27" s="27">
        <f t="shared" si="28"/>
        <v>97999.296595199979</v>
      </c>
      <c r="Q27" s="27">
        <f t="shared" si="29"/>
        <v>203302.88858880001</v>
      </c>
      <c r="R27" s="27"/>
      <c r="S27" s="27"/>
      <c r="T27" s="27"/>
      <c r="U27" s="18"/>
      <c r="V27">
        <v>2.3999999999999998E-3</v>
      </c>
      <c r="W27">
        <v>0.99760000000000004</v>
      </c>
      <c r="X27" s="94">
        <f t="shared" si="30"/>
        <v>-17.530308956159999</v>
      </c>
      <c r="Y27" s="94">
        <f t="shared" si="31"/>
        <v>235.19831182847992</v>
      </c>
      <c r="Z27" s="94">
        <f t="shared" si="32"/>
        <v>487.92693261311996</v>
      </c>
      <c r="AA27" s="94">
        <f t="shared" si="33"/>
        <v>-7286.7650894438411</v>
      </c>
      <c r="AB27" s="94">
        <f t="shared" si="34"/>
        <v>97764.09828337151</v>
      </c>
      <c r="AC27" s="94">
        <f t="shared" si="35"/>
        <v>202814.9616561869</v>
      </c>
      <c r="AJ27" s="18"/>
      <c r="AK27">
        <v>0</v>
      </c>
      <c r="AL27" s="34">
        <f t="shared" si="48"/>
        <v>0</v>
      </c>
      <c r="AM27" s="34">
        <f t="shared" si="36"/>
        <v>1</v>
      </c>
      <c r="AN27" s="94">
        <f t="shared" si="37"/>
        <v>0</v>
      </c>
      <c r="AO27" s="94">
        <f t="shared" si="38"/>
        <v>0</v>
      </c>
      <c r="AP27" s="94">
        <f t="shared" si="39"/>
        <v>-7286.7650894438411</v>
      </c>
      <c r="AQ27" s="27"/>
      <c r="AR27" s="27"/>
      <c r="AS27" s="94">
        <f t="shared" si="40"/>
        <v>0</v>
      </c>
      <c r="AT27" s="94">
        <f t="shared" si="41"/>
        <v>0</v>
      </c>
      <c r="AU27" s="27">
        <f t="shared" si="42"/>
        <v>97764.09828337151</v>
      </c>
      <c r="AV27" s="27"/>
      <c r="AW27" s="27"/>
      <c r="AX27" s="94">
        <f t="shared" si="43"/>
        <v>0</v>
      </c>
      <c r="AY27" s="94">
        <f t="shared" si="44"/>
        <v>0</v>
      </c>
      <c r="AZ27" s="27">
        <f t="shared" si="45"/>
        <v>202814.9616561869</v>
      </c>
      <c r="BA27" s="27"/>
      <c r="BB27" s="27"/>
      <c r="BC27" s="18"/>
      <c r="BP27" s="117"/>
      <c r="CC27" s="121"/>
      <c r="CF27" s="27"/>
      <c r="CG27" s="27"/>
      <c r="CH27" s="27"/>
      <c r="CI27" s="27"/>
      <c r="CJ27" s="27"/>
      <c r="CK27" s="27"/>
      <c r="CL27" s="27"/>
      <c r="CM27" s="27"/>
      <c r="CN27" s="27"/>
      <c r="CO27" s="27"/>
      <c r="CP27" s="27"/>
      <c r="CQ27" s="27"/>
      <c r="CR27" s="27"/>
      <c r="CS27" s="27"/>
      <c r="CT27" s="27"/>
      <c r="CU27" s="27"/>
      <c r="CV27" s="27"/>
      <c r="CW27" s="27"/>
      <c r="CX27" s="121"/>
      <c r="DA27" s="27"/>
      <c r="DB27" s="27"/>
      <c r="DC27" s="27"/>
      <c r="DD27" s="27"/>
      <c r="DE27" s="27"/>
      <c r="DF27" s="27"/>
      <c r="DG27" s="27"/>
      <c r="DH27" s="27"/>
      <c r="DI27" s="27"/>
      <c r="DJ27" s="27"/>
      <c r="DK27" s="27"/>
      <c r="DL27" s="27"/>
      <c r="DM27" s="27"/>
      <c r="DN27" s="27"/>
      <c r="DO27" s="27"/>
      <c r="DP27" s="27"/>
      <c r="DQ27" s="27"/>
      <c r="DR27" s="27"/>
      <c r="DS27" s="121"/>
      <c r="DY27" s="212"/>
      <c r="DZ27" s="212"/>
      <c r="EA27" s="212"/>
      <c r="EB27" s="212"/>
      <c r="EC27" s="212"/>
      <c r="ED27" s="212"/>
      <c r="EE27" s="212"/>
      <c r="EF27" s="212"/>
      <c r="EG27" s="212"/>
      <c r="EH27" s="212"/>
      <c r="EI27" s="212"/>
      <c r="EJ27" s="212"/>
      <c r="EK27" s="212"/>
      <c r="EL27" s="212"/>
      <c r="EM27" s="212"/>
      <c r="EN27" s="212"/>
      <c r="EO27" s="212"/>
      <c r="EP27" s="212"/>
      <c r="EQ27" s="212"/>
      <c r="ER27" s="212"/>
      <c r="ES27" s="212"/>
      <c r="ET27" s="212"/>
      <c r="EU27" s="212"/>
    </row>
    <row r="28" spans="1:152" x14ac:dyDescent="0.2">
      <c r="A28" s="3" t="s">
        <v>50</v>
      </c>
      <c r="B28">
        <v>1607</v>
      </c>
      <c r="C28">
        <v>1723</v>
      </c>
      <c r="D28">
        <v>0.67</v>
      </c>
      <c r="E28">
        <v>0.66</v>
      </c>
      <c r="F28" s="2">
        <f t="shared" si="24"/>
        <v>1060.6200000000001</v>
      </c>
      <c r="G28" t="s">
        <v>11</v>
      </c>
      <c r="H28" s="20"/>
      <c r="I28" s="21"/>
      <c r="J28">
        <v>1061</v>
      </c>
      <c r="K28" s="34">
        <f t="shared" si="25"/>
        <v>-7.9315200000000008</v>
      </c>
      <c r="L28" s="34">
        <f t="shared" si="47"/>
        <v>106.41455999999999</v>
      </c>
      <c r="M28" s="34">
        <f t="shared" si="26"/>
        <v>220.76064</v>
      </c>
      <c r="N28">
        <v>0.67</v>
      </c>
      <c r="O28" s="27">
        <f t="shared" si="27"/>
        <v>-5638.2796224000003</v>
      </c>
      <c r="P28" s="27">
        <f t="shared" si="28"/>
        <v>75646.918267200002</v>
      </c>
      <c r="Q28" s="27">
        <f t="shared" si="29"/>
        <v>156932.11615680001</v>
      </c>
      <c r="R28" s="27"/>
      <c r="S28" s="27"/>
      <c r="T28" s="27"/>
      <c r="U28" s="18"/>
      <c r="V28">
        <v>2.3999999999999998E-3</v>
      </c>
      <c r="W28">
        <v>0.99760000000000004</v>
      </c>
      <c r="X28" s="94">
        <f t="shared" si="30"/>
        <v>-13.53187109376</v>
      </c>
      <c r="Y28" s="94">
        <f t="shared" si="31"/>
        <v>181.55260384127999</v>
      </c>
      <c r="Z28" s="94">
        <f t="shared" si="32"/>
        <v>376.63707877631998</v>
      </c>
      <c r="AA28" s="94">
        <f t="shared" si="33"/>
        <v>-5624.7477513062404</v>
      </c>
      <c r="AB28" s="94">
        <f t="shared" si="34"/>
        <v>75465.365663358723</v>
      </c>
      <c r="AC28" s="94">
        <f t="shared" si="35"/>
        <v>156555.47907802369</v>
      </c>
      <c r="AJ28" s="18"/>
      <c r="AK28">
        <v>121</v>
      </c>
      <c r="AL28" s="34">
        <f t="shared" si="48"/>
        <v>1.3812785388127854E-2</v>
      </c>
      <c r="AM28" s="34">
        <f t="shared" si="36"/>
        <v>0.9861872146118722</v>
      </c>
      <c r="AN28" s="94">
        <f t="shared" si="37"/>
        <v>-77.693433551147834</v>
      </c>
      <c r="AO28" s="94">
        <f t="shared" si="38"/>
        <v>-38.846716775573917</v>
      </c>
      <c r="AP28" s="94">
        <f t="shared" si="39"/>
        <v>-5585.9010345306669</v>
      </c>
      <c r="AQ28" s="27"/>
      <c r="AR28" s="27"/>
      <c r="AS28" s="94">
        <f t="shared" si="40"/>
        <v>1042.3869001445669</v>
      </c>
      <c r="AT28" s="94">
        <f t="shared" si="41"/>
        <v>521.19345007228344</v>
      </c>
      <c r="AU28" s="27">
        <f t="shared" si="42"/>
        <v>74944.172213286452</v>
      </c>
      <c r="AV28" s="27"/>
      <c r="AW28" s="27"/>
      <c r="AX28" s="94">
        <f t="shared" si="43"/>
        <v>2162.4672338402816</v>
      </c>
      <c r="AY28" s="94">
        <f t="shared" si="44"/>
        <v>1081.2336169201408</v>
      </c>
      <c r="AZ28" s="27">
        <f t="shared" si="45"/>
        <v>155474.24546110356</v>
      </c>
      <c r="BA28" s="27"/>
      <c r="BB28" s="27"/>
      <c r="BC28" s="18"/>
      <c r="BP28" s="117"/>
      <c r="CC28" s="121"/>
      <c r="CD28" s="172" t="s">
        <v>289</v>
      </c>
      <c r="CE28" s="172"/>
      <c r="CF28" s="173"/>
      <c r="CG28" s="173"/>
      <c r="CH28" s="173"/>
      <c r="CI28" s="173"/>
      <c r="CJ28" s="173"/>
      <c r="CK28" s="173"/>
      <c r="CL28" s="173"/>
      <c r="CM28" s="173"/>
      <c r="CN28" s="173"/>
      <c r="CO28" s="173"/>
      <c r="CP28" s="173"/>
      <c r="CQ28" s="173"/>
      <c r="CR28" s="173"/>
      <c r="CS28" s="173"/>
      <c r="CT28" s="27"/>
      <c r="CU28" s="27"/>
      <c r="CV28" s="27"/>
      <c r="CW28" s="27"/>
      <c r="CX28" s="121"/>
      <c r="DA28" s="27"/>
      <c r="DB28" s="27"/>
      <c r="DC28" s="27"/>
      <c r="DD28" s="27"/>
      <c r="DE28" s="27"/>
      <c r="DF28" s="27"/>
      <c r="DG28" s="27"/>
      <c r="DH28" s="27"/>
      <c r="DI28" s="27"/>
      <c r="DJ28" s="27"/>
      <c r="DK28" s="27"/>
      <c r="DL28" s="27"/>
      <c r="DM28" s="27"/>
      <c r="DN28" s="27"/>
      <c r="DO28" s="27"/>
      <c r="DP28" s="27"/>
      <c r="DQ28" s="27"/>
      <c r="DR28" s="27"/>
      <c r="DS28" s="121"/>
      <c r="DY28" s="212"/>
      <c r="DZ28" s="212"/>
      <c r="EA28" s="212"/>
      <c r="EB28" s="212"/>
      <c r="EC28" s="212"/>
      <c r="ED28" s="212"/>
      <c r="EE28" s="212"/>
      <c r="EF28" s="212"/>
      <c r="EG28" s="212"/>
      <c r="EH28" s="212"/>
      <c r="EI28" s="212"/>
      <c r="EJ28" s="212"/>
      <c r="EK28" s="212"/>
      <c r="EL28" s="212"/>
      <c r="EM28" s="212"/>
      <c r="EN28" s="212"/>
      <c r="EO28" s="212"/>
      <c r="EP28" s="212"/>
      <c r="EQ28" s="212"/>
      <c r="ER28" s="212"/>
      <c r="ES28" s="212"/>
      <c r="ET28" s="212"/>
      <c r="EU28" s="212"/>
    </row>
    <row r="29" spans="1:152" ht="17" x14ac:dyDescent="0.2">
      <c r="A29" s="3" t="s">
        <v>51</v>
      </c>
      <c r="B29">
        <v>1212</v>
      </c>
      <c r="C29">
        <v>741</v>
      </c>
      <c r="D29">
        <v>6.44</v>
      </c>
      <c r="E29">
        <v>0.95</v>
      </c>
      <c r="F29" s="2">
        <f t="shared" si="24"/>
        <v>1151.3999999999999</v>
      </c>
      <c r="G29" t="s">
        <v>11</v>
      </c>
      <c r="H29" s="20"/>
      <c r="I29" s="21"/>
      <c r="J29">
        <v>1151</v>
      </c>
      <c r="K29" s="34">
        <f t="shared" si="25"/>
        <v>-7.9315200000000008</v>
      </c>
      <c r="L29" s="34">
        <f t="shared" si="47"/>
        <v>106.41455999999999</v>
      </c>
      <c r="M29" s="34">
        <f t="shared" si="26"/>
        <v>220.76064</v>
      </c>
      <c r="N29">
        <v>6.44</v>
      </c>
      <c r="O29" s="27">
        <f t="shared" si="27"/>
        <v>-58791.916108800011</v>
      </c>
      <c r="P29" s="27">
        <f t="shared" si="28"/>
        <v>788791.5411264</v>
      </c>
      <c r="Q29" s="27">
        <f t="shared" si="29"/>
        <v>1636374.9983616001</v>
      </c>
      <c r="R29" s="27"/>
      <c r="S29" s="27"/>
      <c r="T29" s="27"/>
      <c r="U29" s="18"/>
      <c r="V29">
        <v>2.3999999999999998E-3</v>
      </c>
      <c r="W29">
        <v>0.99760000000000004</v>
      </c>
      <c r="X29" s="94">
        <f t="shared" si="30"/>
        <v>-141.10059866112002</v>
      </c>
      <c r="Y29" s="94">
        <f t="shared" si="31"/>
        <v>1893.0996987033598</v>
      </c>
      <c r="Z29" s="94">
        <f t="shared" si="32"/>
        <v>3927.2999960678399</v>
      </c>
      <c r="AA29" s="94">
        <f t="shared" si="33"/>
        <v>-58650.815510138891</v>
      </c>
      <c r="AB29" s="94">
        <f t="shared" si="34"/>
        <v>786898.44142769673</v>
      </c>
      <c r="AC29" s="94">
        <f t="shared" si="35"/>
        <v>1632447.6983655323</v>
      </c>
      <c r="AJ29" s="18"/>
      <c r="AK29">
        <v>2</v>
      </c>
      <c r="AL29" s="34">
        <f t="shared" si="48"/>
        <v>2.2831050228310502E-4</v>
      </c>
      <c r="AM29" s="34">
        <f t="shared" si="36"/>
        <v>0.99977168949771689</v>
      </c>
      <c r="AN29" s="94">
        <f t="shared" si="37"/>
        <v>-13.390597148433537</v>
      </c>
      <c r="AO29" s="94">
        <f t="shared" si="38"/>
        <v>-6.6952985742167686</v>
      </c>
      <c r="AP29" s="94">
        <f t="shared" si="39"/>
        <v>-58644.120211564674</v>
      </c>
      <c r="AQ29" s="27"/>
      <c r="AR29" s="27"/>
      <c r="AS29" s="94">
        <f t="shared" si="40"/>
        <v>179.65717840814995</v>
      </c>
      <c r="AT29" s="94">
        <f t="shared" si="41"/>
        <v>89.828589204074973</v>
      </c>
      <c r="AU29" s="27">
        <f t="shared" si="42"/>
        <v>786808.61283849273</v>
      </c>
      <c r="AV29" s="27"/>
      <c r="AW29" s="27"/>
      <c r="AX29" s="94">
        <f t="shared" si="43"/>
        <v>372.70495396473342</v>
      </c>
      <c r="AY29" s="94">
        <f t="shared" si="44"/>
        <v>186.35247698236671</v>
      </c>
      <c r="AZ29" s="27">
        <f t="shared" si="45"/>
        <v>1632261.3458885499</v>
      </c>
      <c r="BA29" s="27"/>
      <c r="BB29" s="27"/>
      <c r="BC29" s="18"/>
      <c r="BP29" s="117"/>
      <c r="CC29" s="121"/>
      <c r="CD29" s="171" t="s">
        <v>93</v>
      </c>
      <c r="CF29" s="27"/>
      <c r="CG29" s="27"/>
      <c r="CH29" s="27"/>
      <c r="CI29" s="27"/>
      <c r="CJ29" s="27"/>
      <c r="CK29" s="27"/>
      <c r="CL29" s="27"/>
      <c r="CM29" s="27"/>
      <c r="CN29" s="27"/>
      <c r="CO29" s="27"/>
      <c r="CP29" s="27"/>
      <c r="CQ29" s="27"/>
      <c r="CR29" s="27"/>
      <c r="CS29" s="27"/>
      <c r="CT29" s="27"/>
      <c r="CU29" s="27"/>
      <c r="CV29" s="27"/>
      <c r="CW29" s="27"/>
      <c r="CX29" s="121"/>
      <c r="DA29" s="27"/>
      <c r="DB29" s="27"/>
      <c r="DC29" s="27"/>
      <c r="DD29" s="27"/>
      <c r="DE29" s="27"/>
      <c r="DF29" s="27"/>
      <c r="DG29" s="27"/>
      <c r="DH29" s="27"/>
      <c r="DI29" s="27"/>
      <c r="DJ29" s="27"/>
      <c r="DK29" s="27"/>
      <c r="DL29" s="27"/>
      <c r="DM29" s="27"/>
      <c r="DN29" s="27"/>
      <c r="DO29" s="27"/>
      <c r="DP29" s="27"/>
      <c r="DQ29" s="27"/>
      <c r="DR29" s="27"/>
      <c r="DS29" s="121"/>
      <c r="DY29" s="212"/>
      <c r="DZ29" s="212"/>
      <c r="EA29" s="212"/>
      <c r="EB29" s="212"/>
      <c r="EC29" s="212"/>
      <c r="ED29" s="212"/>
      <c r="EE29" s="212"/>
      <c r="EF29" s="212"/>
      <c r="EG29" s="212"/>
      <c r="EH29" s="212"/>
      <c r="EI29" s="212"/>
      <c r="EJ29" s="212"/>
      <c r="EK29" s="212"/>
      <c r="EL29" s="212"/>
      <c r="EM29" s="212"/>
      <c r="EN29" s="212"/>
      <c r="EO29" s="212"/>
      <c r="EP29" s="212"/>
      <c r="EQ29" s="212"/>
      <c r="ER29" s="212"/>
      <c r="ES29" s="212"/>
      <c r="ET29" s="212"/>
      <c r="EU29" s="212"/>
    </row>
    <row r="30" spans="1:152" x14ac:dyDescent="0.2">
      <c r="A30" s="3" t="s">
        <v>52</v>
      </c>
      <c r="B30">
        <v>1569</v>
      </c>
      <c r="C30">
        <v>87</v>
      </c>
      <c r="D30">
        <v>1.47</v>
      </c>
      <c r="E30">
        <v>0.21</v>
      </c>
      <c r="F30" s="2">
        <f t="shared" si="24"/>
        <v>329.49</v>
      </c>
      <c r="G30" t="s">
        <v>11</v>
      </c>
      <c r="H30" s="20"/>
      <c r="I30" s="21"/>
      <c r="J30">
        <v>329</v>
      </c>
      <c r="K30" s="34">
        <f t="shared" si="25"/>
        <v>-7.9315200000000008</v>
      </c>
      <c r="L30" s="34">
        <f t="shared" si="47"/>
        <v>106.41455999999999</v>
      </c>
      <c r="M30" s="34">
        <f t="shared" si="26"/>
        <v>220.76064</v>
      </c>
      <c r="N30">
        <v>1.47</v>
      </c>
      <c r="O30" s="27">
        <f t="shared" si="27"/>
        <v>-3835.9210176000001</v>
      </c>
      <c r="P30" s="27">
        <f t="shared" si="28"/>
        <v>51465.273652800002</v>
      </c>
      <c r="Q30" s="27">
        <f t="shared" si="29"/>
        <v>106766.4683232</v>
      </c>
      <c r="R30" s="27"/>
      <c r="S30" s="27"/>
      <c r="T30" s="27"/>
      <c r="U30" s="18"/>
      <c r="V30">
        <v>2.3999999999999998E-3</v>
      </c>
      <c r="W30">
        <v>0.99760000000000004</v>
      </c>
      <c r="X30" s="94">
        <f t="shared" si="30"/>
        <v>-9.2062104422399997</v>
      </c>
      <c r="Y30" s="94">
        <f t="shared" si="31"/>
        <v>123.51665676671999</v>
      </c>
      <c r="Z30" s="94">
        <f t="shared" si="32"/>
        <v>256.23952397567996</v>
      </c>
      <c r="AA30" s="94">
        <f t="shared" si="33"/>
        <v>-3826.7148071577603</v>
      </c>
      <c r="AB30" s="94">
        <f t="shared" si="34"/>
        <v>51341.756996033284</v>
      </c>
      <c r="AC30" s="94">
        <f t="shared" si="35"/>
        <v>106510.22879922432</v>
      </c>
      <c r="AJ30" s="18"/>
      <c r="AK30">
        <v>0</v>
      </c>
      <c r="AL30" s="34">
        <f t="shared" si="48"/>
        <v>0</v>
      </c>
      <c r="AM30" s="34">
        <f t="shared" si="36"/>
        <v>1</v>
      </c>
      <c r="AN30" s="94">
        <f t="shared" si="37"/>
        <v>0</v>
      </c>
      <c r="AO30" s="94">
        <f t="shared" si="38"/>
        <v>0</v>
      </c>
      <c r="AP30" s="94">
        <f t="shared" si="39"/>
        <v>-3826.7148071577603</v>
      </c>
      <c r="AQ30" s="27"/>
      <c r="AR30" s="27"/>
      <c r="AS30" s="94">
        <f t="shared" si="40"/>
        <v>0</v>
      </c>
      <c r="AT30" s="94">
        <f t="shared" si="41"/>
        <v>0</v>
      </c>
      <c r="AU30" s="27">
        <f t="shared" si="42"/>
        <v>51341.756996033284</v>
      </c>
      <c r="AV30" s="27"/>
      <c r="AW30" s="27"/>
      <c r="AX30" s="94">
        <f t="shared" si="43"/>
        <v>0</v>
      </c>
      <c r="AY30" s="94">
        <f t="shared" si="44"/>
        <v>0</v>
      </c>
      <c r="AZ30" s="27">
        <f t="shared" si="45"/>
        <v>106510.22879922432</v>
      </c>
      <c r="BA30" s="27"/>
      <c r="BB30" s="27"/>
      <c r="BC30" s="18"/>
      <c r="BP30" s="117"/>
      <c r="CC30" s="121"/>
      <c r="CF30" s="27"/>
      <c r="CG30" s="27"/>
      <c r="CH30" s="27"/>
      <c r="CI30" s="27"/>
      <c r="CJ30" s="27"/>
      <c r="CK30" s="27"/>
      <c r="CL30" s="27"/>
      <c r="CM30" s="27"/>
      <c r="CN30" s="27"/>
      <c r="CO30" s="27"/>
      <c r="CP30" s="27"/>
      <c r="CQ30" s="27"/>
      <c r="CR30" s="27"/>
      <c r="CS30" s="27"/>
      <c r="CT30" s="27"/>
      <c r="CU30" s="27"/>
      <c r="CV30" s="27"/>
      <c r="CW30" s="27"/>
      <c r="CX30" s="121"/>
      <c r="DA30" s="27"/>
      <c r="DB30" s="27"/>
      <c r="DC30" s="27"/>
      <c r="DD30" s="27"/>
      <c r="DE30" s="27"/>
      <c r="DF30" s="27"/>
      <c r="DG30" s="27"/>
      <c r="DH30" s="27"/>
      <c r="DI30" s="27"/>
      <c r="DJ30" s="27"/>
      <c r="DK30" s="27"/>
      <c r="DL30" s="27"/>
      <c r="DM30" s="27"/>
      <c r="DN30" s="27"/>
      <c r="DO30" s="27"/>
      <c r="DP30" s="27"/>
      <c r="DQ30" s="27"/>
      <c r="DR30" s="27"/>
      <c r="DS30" s="121"/>
      <c r="DY30" s="212"/>
      <c r="DZ30" s="212"/>
      <c r="EA30" s="212"/>
      <c r="EB30" s="212"/>
      <c r="EC30" s="212"/>
      <c r="ED30" s="212"/>
      <c r="EE30" s="212"/>
      <c r="EF30" s="212"/>
      <c r="EG30" s="212"/>
      <c r="EH30" s="212"/>
      <c r="EI30" s="212"/>
      <c r="EJ30" s="212"/>
      <c r="EK30" s="212"/>
      <c r="EL30" s="212"/>
      <c r="EM30" s="212"/>
      <c r="EN30" s="212"/>
      <c r="EO30" s="212"/>
      <c r="EP30" s="212"/>
      <c r="EQ30" s="212"/>
      <c r="ER30" s="212"/>
      <c r="ES30" s="212"/>
      <c r="ET30" s="212"/>
      <c r="EU30" s="212"/>
    </row>
    <row r="31" spans="1:152" x14ac:dyDescent="0.2">
      <c r="A31" s="3" t="s">
        <v>54</v>
      </c>
      <c r="B31">
        <v>1540</v>
      </c>
      <c r="C31">
        <v>570</v>
      </c>
      <c r="D31">
        <v>1.19</v>
      </c>
      <c r="E31">
        <v>0.15</v>
      </c>
      <c r="F31" s="2">
        <f t="shared" si="24"/>
        <v>231</v>
      </c>
      <c r="G31" t="s">
        <v>11</v>
      </c>
      <c r="H31" s="20"/>
      <c r="I31" s="21"/>
      <c r="J31">
        <v>231</v>
      </c>
      <c r="K31" s="34">
        <f t="shared" si="25"/>
        <v>-7.9315200000000008</v>
      </c>
      <c r="L31" s="34">
        <f t="shared" si="47"/>
        <v>106.41455999999999</v>
      </c>
      <c r="M31" s="34">
        <f t="shared" si="26"/>
        <v>220.76064</v>
      </c>
      <c r="N31">
        <v>1.19</v>
      </c>
      <c r="O31" s="27">
        <f t="shared" si="27"/>
        <v>-2180.2955328000003</v>
      </c>
      <c r="P31" s="27">
        <f t="shared" si="28"/>
        <v>29252.298398399995</v>
      </c>
      <c r="Q31" s="27">
        <f t="shared" si="29"/>
        <v>60684.892329599992</v>
      </c>
      <c r="R31" s="27"/>
      <c r="S31" s="27"/>
      <c r="T31" s="27"/>
      <c r="U31" s="18"/>
      <c r="V31">
        <v>2.3999999999999998E-3</v>
      </c>
      <c r="W31">
        <v>0.99760000000000004</v>
      </c>
      <c r="X31" s="94">
        <f t="shared" si="30"/>
        <v>-5.2327092787199998</v>
      </c>
      <c r="Y31" s="94">
        <f t="shared" si="31"/>
        <v>70.205516156159987</v>
      </c>
      <c r="Z31" s="94">
        <f t="shared" si="32"/>
        <v>145.64374159103997</v>
      </c>
      <c r="AA31" s="94">
        <f t="shared" si="33"/>
        <v>-2175.0628235212803</v>
      </c>
      <c r="AB31" s="94">
        <f t="shared" si="34"/>
        <v>29182.092882243836</v>
      </c>
      <c r="AC31" s="94">
        <f t="shared" si="35"/>
        <v>60539.248588008952</v>
      </c>
      <c r="AJ31" s="18"/>
      <c r="AK31">
        <v>19</v>
      </c>
      <c r="AL31" s="34">
        <f t="shared" si="48"/>
        <v>2.1689497716894978E-3</v>
      </c>
      <c r="AM31" s="34">
        <f t="shared" si="36"/>
        <v>0.99783105022831053</v>
      </c>
      <c r="AN31" s="94">
        <f t="shared" si="37"/>
        <v>-4.7176020144867952</v>
      </c>
      <c r="AO31" s="94">
        <f t="shared" si="38"/>
        <v>-2.3588010072433976</v>
      </c>
      <c r="AP31" s="94">
        <f t="shared" si="39"/>
        <v>-2172.7040225140372</v>
      </c>
      <c r="AQ31" s="27"/>
      <c r="AR31" s="27"/>
      <c r="AS31" s="94">
        <f t="shared" si="40"/>
        <v>63.294493694364483</v>
      </c>
      <c r="AT31" s="94">
        <f t="shared" si="41"/>
        <v>31.647246847182242</v>
      </c>
      <c r="AU31" s="27">
        <f t="shared" si="42"/>
        <v>29150.445635396656</v>
      </c>
      <c r="AV31" s="27"/>
      <c r="AW31" s="27"/>
      <c r="AX31" s="94">
        <f t="shared" si="43"/>
        <v>131.30658940321575</v>
      </c>
      <c r="AY31" s="94">
        <f t="shared" si="44"/>
        <v>65.653294701607877</v>
      </c>
      <c r="AZ31" s="27">
        <f t="shared" si="45"/>
        <v>60473.595293307349</v>
      </c>
      <c r="BA31" s="27"/>
      <c r="BB31" s="27"/>
      <c r="BC31" s="18"/>
      <c r="BP31" s="117"/>
      <c r="CC31" s="121"/>
      <c r="CF31" s="27"/>
      <c r="CG31" s="27"/>
      <c r="CH31" s="27"/>
      <c r="CI31" s="27"/>
      <c r="CJ31" s="27"/>
      <c r="CK31" s="27"/>
      <c r="CL31" s="27"/>
      <c r="CM31" s="27"/>
      <c r="CN31" s="27"/>
      <c r="CO31" s="27"/>
      <c r="CP31" s="27"/>
      <c r="CQ31" s="27"/>
      <c r="CR31" s="27"/>
      <c r="CS31" s="27"/>
      <c r="CT31" s="27"/>
      <c r="CU31" s="27" t="s">
        <v>93</v>
      </c>
      <c r="CV31" s="27"/>
      <c r="CW31" s="27"/>
      <c r="CX31" s="121"/>
      <c r="DA31" s="27"/>
      <c r="DB31" s="27"/>
      <c r="DC31" s="27"/>
      <c r="DD31" s="27"/>
      <c r="DE31" s="27"/>
      <c r="DF31" s="27"/>
      <c r="DG31" s="27"/>
      <c r="DH31" s="27"/>
      <c r="DI31" s="27"/>
      <c r="DJ31" s="27"/>
      <c r="DK31" s="27"/>
      <c r="DL31" s="27"/>
      <c r="DM31" s="27"/>
      <c r="DN31" s="27"/>
      <c r="DO31" s="27"/>
      <c r="DP31" s="27"/>
      <c r="DQ31" s="27"/>
      <c r="DR31" s="27"/>
      <c r="DS31" s="121"/>
      <c r="DY31" s="212"/>
      <c r="DZ31" s="212"/>
      <c r="EA31" s="212"/>
      <c r="EB31" s="212"/>
      <c r="EC31" s="212"/>
      <c r="ED31" s="212"/>
      <c r="EE31" s="212"/>
      <c r="EF31" s="212"/>
      <c r="EG31" s="212"/>
      <c r="EH31" s="212"/>
      <c r="EI31" s="212"/>
      <c r="EJ31" s="212"/>
      <c r="EK31" s="212"/>
      <c r="EL31" s="212"/>
      <c r="EM31" s="212"/>
      <c r="EN31" s="212"/>
      <c r="EO31" s="212"/>
      <c r="EP31" s="212"/>
      <c r="EQ31" s="212"/>
      <c r="ER31" s="212"/>
      <c r="ES31" s="212"/>
      <c r="ET31" s="212"/>
      <c r="EU31" s="212"/>
    </row>
    <row r="32" spans="1:152" x14ac:dyDescent="0.2">
      <c r="A32" s="3" t="s">
        <v>55</v>
      </c>
      <c r="B32">
        <v>1512</v>
      </c>
      <c r="C32">
        <v>1053</v>
      </c>
      <c r="D32">
        <v>0.46</v>
      </c>
      <c r="E32">
        <v>0.1</v>
      </c>
      <c r="F32" s="2">
        <f t="shared" si="24"/>
        <v>151.20000000000002</v>
      </c>
      <c r="G32" t="s">
        <v>11</v>
      </c>
      <c r="H32" s="20"/>
      <c r="I32" s="21"/>
      <c r="J32">
        <v>151</v>
      </c>
      <c r="K32" s="34">
        <f t="shared" si="25"/>
        <v>-7.9315200000000008</v>
      </c>
      <c r="L32" s="34">
        <f t="shared" si="47"/>
        <v>106.41455999999999</v>
      </c>
      <c r="M32" s="34">
        <f t="shared" si="26"/>
        <v>220.76064</v>
      </c>
      <c r="N32">
        <v>0.46</v>
      </c>
      <c r="O32" s="27">
        <f t="shared" si="27"/>
        <v>-550.92337920000011</v>
      </c>
      <c r="P32" s="27">
        <f t="shared" si="28"/>
        <v>7391.5553375999998</v>
      </c>
      <c r="Q32" s="27">
        <f t="shared" si="29"/>
        <v>15334.034054399999</v>
      </c>
      <c r="R32" s="27"/>
      <c r="S32" s="27"/>
      <c r="T32" s="27"/>
      <c r="U32" s="18"/>
      <c r="V32">
        <v>2.3999999999999998E-3</v>
      </c>
      <c r="W32">
        <v>0.99760000000000004</v>
      </c>
      <c r="X32" s="94">
        <f t="shared" si="30"/>
        <v>-1.3222161100800001</v>
      </c>
      <c r="Y32" s="94">
        <f t="shared" si="31"/>
        <v>17.73973281024</v>
      </c>
      <c r="Z32" s="94">
        <f t="shared" si="32"/>
        <v>36.801681730559991</v>
      </c>
      <c r="AA32" s="94">
        <f t="shared" si="33"/>
        <v>-549.60116308992019</v>
      </c>
      <c r="AB32" s="94">
        <f t="shared" si="34"/>
        <v>7373.8156047897601</v>
      </c>
      <c r="AC32" s="94">
        <f t="shared" si="35"/>
        <v>15297.232372669439</v>
      </c>
      <c r="AJ32" s="18"/>
      <c r="AK32">
        <v>11</v>
      </c>
      <c r="AL32" s="34">
        <f t="shared" si="48"/>
        <v>1.2557077625570776E-3</v>
      </c>
      <c r="AM32" s="34">
        <f t="shared" si="36"/>
        <v>0.99874429223744288</v>
      </c>
      <c r="AN32" s="94">
        <f t="shared" si="37"/>
        <v>-0.69013844680241121</v>
      </c>
      <c r="AO32" s="94">
        <f t="shared" si="38"/>
        <v>-0.3450692234012056</v>
      </c>
      <c r="AP32" s="94">
        <f t="shared" si="39"/>
        <v>-549.256093866519</v>
      </c>
      <c r="AQ32" s="27"/>
      <c r="AR32" s="27"/>
      <c r="AS32" s="94">
        <f t="shared" si="40"/>
        <v>9.2593574945990138</v>
      </c>
      <c r="AT32" s="94">
        <f t="shared" si="41"/>
        <v>4.6296787472995069</v>
      </c>
      <c r="AU32" s="27">
        <f t="shared" si="42"/>
        <v>7369.1859260424599</v>
      </c>
      <c r="AV32" s="27"/>
      <c r="AW32" s="27"/>
      <c r="AX32" s="94">
        <f t="shared" si="43"/>
        <v>19.208853436000439</v>
      </c>
      <c r="AY32" s="94">
        <f t="shared" si="44"/>
        <v>9.6044267180002194</v>
      </c>
      <c r="AZ32" s="27">
        <f t="shared" si="45"/>
        <v>15287.627945951439</v>
      </c>
      <c r="BA32" s="27"/>
      <c r="BB32" s="27"/>
      <c r="BC32" s="18"/>
      <c r="BP32" s="117"/>
      <c r="CC32" s="121"/>
      <c r="CF32" s="27"/>
      <c r="CG32" s="27"/>
      <c r="CH32" s="27"/>
      <c r="CI32" s="27"/>
      <c r="CJ32" s="27"/>
      <c r="CK32" s="27"/>
      <c r="CL32" s="27"/>
      <c r="CM32" s="27"/>
      <c r="CN32" s="27"/>
      <c r="CO32" s="27"/>
      <c r="CP32" s="27"/>
      <c r="CQ32" s="27"/>
      <c r="CR32" s="27"/>
      <c r="CS32" s="27"/>
      <c r="CT32" s="27"/>
      <c r="CU32" s="27"/>
      <c r="CV32" s="27"/>
      <c r="CW32" s="27"/>
      <c r="CX32" s="121"/>
      <c r="DA32" s="27"/>
      <c r="DB32" s="27"/>
      <c r="DC32" s="27"/>
      <c r="DD32" s="27"/>
      <c r="DE32" s="27"/>
      <c r="DF32" s="27"/>
      <c r="DG32" s="27"/>
      <c r="DH32" s="27"/>
      <c r="DI32" s="27"/>
      <c r="DJ32" s="27"/>
      <c r="DK32" s="27"/>
      <c r="DL32" s="27"/>
      <c r="DM32" s="27"/>
      <c r="DN32" s="27"/>
      <c r="DO32" s="27"/>
      <c r="DP32" s="27"/>
      <c r="DQ32" s="27"/>
      <c r="DR32" s="27"/>
      <c r="DS32" s="121"/>
      <c r="DY32" s="212"/>
      <c r="DZ32" s="212"/>
      <c r="EA32" s="212"/>
      <c r="EB32" s="212"/>
      <c r="EC32" s="212"/>
      <c r="ED32" s="212"/>
      <c r="EE32" s="212"/>
      <c r="EF32" s="212"/>
      <c r="EG32" s="212"/>
      <c r="EH32" s="212"/>
      <c r="EI32" s="212"/>
      <c r="EJ32" s="212"/>
      <c r="EK32" s="212"/>
      <c r="EL32" s="212"/>
      <c r="EM32" s="212"/>
      <c r="EN32" s="212"/>
      <c r="EO32" s="212"/>
      <c r="EP32" s="212"/>
      <c r="EQ32" s="212"/>
      <c r="ER32" s="212"/>
      <c r="ES32" s="212"/>
      <c r="ET32" s="212"/>
      <c r="EU32" s="212"/>
    </row>
    <row r="33" spans="1:151" x14ac:dyDescent="0.2">
      <c r="A33" s="3" t="s">
        <v>56</v>
      </c>
      <c r="B33">
        <v>1568</v>
      </c>
      <c r="C33">
        <v>87</v>
      </c>
      <c r="D33">
        <v>0.66</v>
      </c>
      <c r="E33">
        <v>0.05</v>
      </c>
      <c r="F33" s="2">
        <f t="shared" si="24"/>
        <v>78.400000000000006</v>
      </c>
      <c r="G33" t="s">
        <v>11</v>
      </c>
      <c r="H33" s="20"/>
      <c r="I33" s="21"/>
      <c r="J33">
        <v>78</v>
      </c>
      <c r="K33" s="34">
        <f t="shared" si="25"/>
        <v>-7.9315200000000008</v>
      </c>
      <c r="L33" s="34">
        <f t="shared" si="47"/>
        <v>106.41455999999999</v>
      </c>
      <c r="M33" s="34">
        <f t="shared" si="26"/>
        <v>220.76064</v>
      </c>
      <c r="N33">
        <v>0.66</v>
      </c>
      <c r="O33" s="27">
        <f t="shared" si="27"/>
        <v>-408.31464960000005</v>
      </c>
      <c r="P33" s="27">
        <f t="shared" si="28"/>
        <v>5478.2215488000002</v>
      </c>
      <c r="Q33" s="27">
        <f t="shared" si="29"/>
        <v>11364.757747200001</v>
      </c>
      <c r="R33" s="27"/>
      <c r="S33" s="27"/>
      <c r="T33" s="27"/>
      <c r="U33" s="18"/>
      <c r="V33">
        <v>2.3999999999999998E-3</v>
      </c>
      <c r="W33">
        <v>0.99760000000000004</v>
      </c>
      <c r="X33" s="94">
        <f t="shared" si="30"/>
        <v>-0.97995515904000008</v>
      </c>
      <c r="Y33" s="94">
        <f t="shared" si="31"/>
        <v>13.147731717119999</v>
      </c>
      <c r="Z33" s="94">
        <f t="shared" si="32"/>
        <v>27.275418593280001</v>
      </c>
      <c r="AA33" s="94">
        <f t="shared" si="33"/>
        <v>-407.33469444096005</v>
      </c>
      <c r="AB33" s="94">
        <f t="shared" si="34"/>
        <v>5465.0738170828799</v>
      </c>
      <c r="AC33" s="94">
        <f t="shared" si="35"/>
        <v>11337.482328606722</v>
      </c>
      <c r="AJ33" s="18"/>
      <c r="AK33">
        <v>112</v>
      </c>
      <c r="AL33" s="34">
        <f t="shared" si="48"/>
        <v>1.2785388127853882E-2</v>
      </c>
      <c r="AM33" s="34">
        <f t="shared" si="36"/>
        <v>0.9872146118721461</v>
      </c>
      <c r="AN33" s="94">
        <f t="shared" si="37"/>
        <v>-5.2079321663684395</v>
      </c>
      <c r="AO33" s="94">
        <f t="shared" si="38"/>
        <v>-2.6039660831842197</v>
      </c>
      <c r="AP33" s="94">
        <f t="shared" si="39"/>
        <v>-404.73072835777583</v>
      </c>
      <c r="AQ33" s="27"/>
      <c r="AR33" s="27"/>
      <c r="AS33" s="94">
        <f t="shared" si="40"/>
        <v>69.873089898776556</v>
      </c>
      <c r="AT33" s="94">
        <f t="shared" si="41"/>
        <v>34.936544949388278</v>
      </c>
      <c r="AU33" s="27">
        <f t="shared" si="42"/>
        <v>5430.137272133491</v>
      </c>
      <c r="AV33" s="27"/>
      <c r="AW33" s="27"/>
      <c r="AX33" s="94">
        <f t="shared" si="43"/>
        <v>144.95411196392158</v>
      </c>
      <c r="AY33" s="94">
        <f t="shared" si="44"/>
        <v>72.477055981960788</v>
      </c>
      <c r="AZ33" s="27">
        <f t="shared" si="45"/>
        <v>11265.005272624761</v>
      </c>
      <c r="BA33" s="27"/>
      <c r="BB33" s="27"/>
      <c r="BC33" s="18"/>
      <c r="BP33" s="117"/>
      <c r="CC33" s="121"/>
      <c r="CF33" s="27"/>
      <c r="CG33" s="27"/>
      <c r="CH33" s="27"/>
      <c r="CI33" s="27"/>
      <c r="CJ33" s="27"/>
      <c r="CK33" s="27"/>
      <c r="CL33" s="27"/>
      <c r="CM33" s="27"/>
      <c r="CN33" s="27"/>
      <c r="CO33" s="27"/>
      <c r="CP33" s="27"/>
      <c r="CQ33" s="27"/>
      <c r="CR33" s="27"/>
      <c r="CS33" s="27"/>
      <c r="CT33" s="27"/>
      <c r="CU33" s="27"/>
      <c r="CV33" s="27"/>
      <c r="CW33" s="27"/>
      <c r="CX33" s="121"/>
      <c r="DA33" s="27"/>
      <c r="DB33" s="27"/>
      <c r="DC33" s="27"/>
      <c r="DD33" s="27"/>
      <c r="DE33" s="27"/>
      <c r="DF33" s="27"/>
      <c r="DG33" s="27"/>
      <c r="DH33" s="27"/>
      <c r="DI33" s="27"/>
      <c r="DJ33" s="27"/>
      <c r="DK33" s="27"/>
      <c r="DL33" s="27"/>
      <c r="DM33" s="27"/>
      <c r="DN33" s="27"/>
      <c r="DO33" s="27"/>
      <c r="DP33" s="27"/>
      <c r="DQ33" s="27"/>
      <c r="DR33" s="27"/>
      <c r="DS33" s="121"/>
      <c r="DY33" s="212"/>
      <c r="DZ33" s="212"/>
      <c r="EA33" s="212"/>
      <c r="EB33" s="212"/>
      <c r="EC33" s="212"/>
      <c r="ED33" s="212"/>
      <c r="EE33" s="212"/>
      <c r="EF33" s="212"/>
      <c r="EG33" s="212"/>
      <c r="EH33" s="212"/>
      <c r="EI33" s="212"/>
      <c r="EJ33" s="212"/>
      <c r="EK33" s="212"/>
      <c r="EL33" s="212"/>
      <c r="EM33" s="212"/>
      <c r="EN33" s="212"/>
      <c r="EO33" s="212"/>
      <c r="EP33" s="212"/>
      <c r="EQ33" s="212"/>
      <c r="ER33" s="212"/>
      <c r="ES33" s="212"/>
      <c r="ET33" s="212"/>
      <c r="EU33" s="212"/>
    </row>
    <row r="34" spans="1:151" x14ac:dyDescent="0.2">
      <c r="A34" s="3" t="s">
        <v>53</v>
      </c>
      <c r="B34">
        <v>1540</v>
      </c>
      <c r="C34">
        <v>570</v>
      </c>
      <c r="D34">
        <v>1.23</v>
      </c>
      <c r="E34">
        <v>0.12</v>
      </c>
      <c r="F34" s="2">
        <f t="shared" si="24"/>
        <v>184.79999999999998</v>
      </c>
      <c r="G34" t="s">
        <v>11</v>
      </c>
      <c r="H34" s="20"/>
      <c r="I34" s="21"/>
      <c r="J34">
        <v>185</v>
      </c>
      <c r="K34" s="34">
        <f t="shared" si="25"/>
        <v>-7.9315200000000008</v>
      </c>
      <c r="L34" s="34">
        <f t="shared" si="47"/>
        <v>106.41455999999999</v>
      </c>
      <c r="M34" s="34">
        <f t="shared" si="26"/>
        <v>220.76064</v>
      </c>
      <c r="N34">
        <v>1.23</v>
      </c>
      <c r="O34" s="27">
        <f t="shared" si="27"/>
        <v>-1804.817376</v>
      </c>
      <c r="P34" s="27">
        <f t="shared" si="28"/>
        <v>24214.633127999998</v>
      </c>
      <c r="Q34" s="27">
        <f t="shared" si="29"/>
        <v>50234.083631999994</v>
      </c>
      <c r="R34" s="27"/>
      <c r="S34" s="27"/>
      <c r="T34" s="27"/>
      <c r="U34" s="18"/>
      <c r="V34">
        <v>2.3999999999999998E-3</v>
      </c>
      <c r="W34">
        <v>0.99760000000000004</v>
      </c>
      <c r="X34" s="94">
        <f t="shared" si="30"/>
        <v>-4.3315617023999993</v>
      </c>
      <c r="Y34" s="94">
        <f t="shared" si="31"/>
        <v>58.115119507199992</v>
      </c>
      <c r="Z34" s="94">
        <f t="shared" si="32"/>
        <v>120.56180071679998</v>
      </c>
      <c r="AA34" s="94">
        <f t="shared" si="33"/>
        <v>-1800.4858142976</v>
      </c>
      <c r="AB34" s="94">
        <f t="shared" si="34"/>
        <v>24156.5180084928</v>
      </c>
      <c r="AC34" s="94">
        <f t="shared" si="35"/>
        <v>50113.521831283193</v>
      </c>
      <c r="AJ34" s="18"/>
      <c r="AK34">
        <v>24</v>
      </c>
      <c r="AL34" s="34">
        <f t="shared" si="48"/>
        <v>2.7397260273972603E-3</v>
      </c>
      <c r="AM34" s="34">
        <f t="shared" si="36"/>
        <v>0.99726027397260275</v>
      </c>
      <c r="AN34" s="94">
        <f t="shared" si="37"/>
        <v>-4.9328378473906849</v>
      </c>
      <c r="AO34" s="94">
        <f t="shared" si="38"/>
        <v>-2.4664189236953424</v>
      </c>
      <c r="AP34" s="94">
        <f t="shared" si="39"/>
        <v>-1798.0193953739047</v>
      </c>
      <c r="AQ34" s="27"/>
      <c r="AR34" s="27"/>
      <c r="AS34" s="94">
        <f t="shared" si="40"/>
        <v>66.182241119158363</v>
      </c>
      <c r="AT34" s="94">
        <f t="shared" si="41"/>
        <v>33.091120559579181</v>
      </c>
      <c r="AU34" s="27">
        <f t="shared" si="42"/>
        <v>24123.426887933223</v>
      </c>
      <c r="AV34" s="27"/>
      <c r="AW34" s="27"/>
      <c r="AX34" s="94">
        <f t="shared" si="43"/>
        <v>137.29732008570738</v>
      </c>
      <c r="AY34" s="94">
        <f t="shared" si="44"/>
        <v>68.648660042853692</v>
      </c>
      <c r="AZ34" s="27">
        <f t="shared" si="45"/>
        <v>50044.873171240339</v>
      </c>
      <c r="BA34" s="27"/>
      <c r="BB34" s="27"/>
      <c r="BC34" s="18"/>
      <c r="BP34" s="117"/>
      <c r="CC34" s="121"/>
      <c r="CF34" s="27"/>
      <c r="CG34" s="27"/>
      <c r="CH34" s="27"/>
      <c r="CI34" s="27"/>
      <c r="CJ34" s="27"/>
      <c r="CK34" s="27"/>
      <c r="CL34" s="27"/>
      <c r="CM34" s="27"/>
      <c r="CN34" s="27"/>
      <c r="CO34" s="27"/>
      <c r="CP34" s="27"/>
      <c r="CQ34" s="27"/>
      <c r="CR34" s="27"/>
      <c r="CS34" s="27"/>
      <c r="CT34" s="27"/>
      <c r="CU34" s="27"/>
      <c r="CV34" s="27"/>
      <c r="CW34" s="27"/>
      <c r="CX34" s="121"/>
      <c r="DA34" s="27"/>
      <c r="DB34" s="27"/>
      <c r="DC34" s="27"/>
      <c r="DD34" s="27"/>
      <c r="DE34" s="27"/>
      <c r="DF34" s="27"/>
      <c r="DG34" s="27"/>
      <c r="DH34" s="27"/>
      <c r="DI34" s="27"/>
      <c r="DJ34" s="27"/>
      <c r="DK34" s="27"/>
      <c r="DL34" s="27"/>
      <c r="DM34" s="27"/>
      <c r="DN34" s="27"/>
      <c r="DO34" s="27"/>
      <c r="DP34" s="27"/>
      <c r="DQ34" s="27"/>
      <c r="DR34" s="27"/>
      <c r="DS34" s="121"/>
      <c r="DY34" s="212"/>
      <c r="DZ34" s="212"/>
      <c r="EA34" s="212"/>
      <c r="EB34" s="212"/>
      <c r="EC34" s="212"/>
      <c r="ED34" s="212"/>
      <c r="EE34" s="212"/>
      <c r="EF34" s="212"/>
      <c r="EG34" s="212"/>
      <c r="EH34" s="212"/>
      <c r="EI34" s="212"/>
      <c r="EJ34" s="212"/>
      <c r="EK34" s="212"/>
      <c r="EL34" s="212"/>
      <c r="EM34" s="212"/>
      <c r="EN34" s="212"/>
      <c r="EO34" s="212"/>
      <c r="EP34" s="212"/>
      <c r="EQ34" s="212"/>
      <c r="ER34" s="212"/>
      <c r="ES34" s="212"/>
      <c r="ET34" s="212"/>
      <c r="EU34" s="212"/>
    </row>
    <row r="35" spans="1:151" x14ac:dyDescent="0.2">
      <c r="A35" s="3" t="s">
        <v>57</v>
      </c>
      <c r="B35">
        <v>1927</v>
      </c>
      <c r="C35">
        <v>748</v>
      </c>
      <c r="D35">
        <v>1.35</v>
      </c>
      <c r="E35">
        <v>0.2</v>
      </c>
      <c r="F35" s="2">
        <f t="shared" si="24"/>
        <v>385.40000000000003</v>
      </c>
      <c r="G35" t="s">
        <v>11</v>
      </c>
      <c r="H35" s="20"/>
      <c r="I35" s="21"/>
      <c r="J35">
        <v>385</v>
      </c>
      <c r="K35" s="34">
        <f t="shared" si="25"/>
        <v>-7.9315200000000008</v>
      </c>
      <c r="L35" s="34">
        <f t="shared" si="47"/>
        <v>106.41455999999999</v>
      </c>
      <c r="M35" s="34">
        <f t="shared" si="26"/>
        <v>220.76064</v>
      </c>
      <c r="N35">
        <v>1.35</v>
      </c>
      <c r="O35" s="27">
        <f t="shared" si="27"/>
        <v>-4122.4075200000007</v>
      </c>
      <c r="P35" s="27">
        <f t="shared" si="28"/>
        <v>55308.967559999997</v>
      </c>
      <c r="Q35" s="27">
        <f t="shared" si="29"/>
        <v>114740.34264</v>
      </c>
      <c r="R35" s="27"/>
      <c r="S35" s="27"/>
      <c r="T35" s="27"/>
      <c r="U35" s="18"/>
      <c r="V35">
        <v>2.3999999999999998E-3</v>
      </c>
      <c r="W35">
        <v>0.99760000000000004</v>
      </c>
      <c r="X35" s="94">
        <f t="shared" si="30"/>
        <v>-9.8937780480000015</v>
      </c>
      <c r="Y35" s="94">
        <f t="shared" si="31"/>
        <v>132.74152214399999</v>
      </c>
      <c r="Z35" s="94">
        <f t="shared" si="32"/>
        <v>275.37682233599998</v>
      </c>
      <c r="AA35" s="94">
        <f t="shared" si="33"/>
        <v>-4112.5137419520006</v>
      </c>
      <c r="AB35" s="94">
        <f t="shared" si="34"/>
        <v>55176.226037856002</v>
      </c>
      <c r="AC35" s="94">
        <f t="shared" si="35"/>
        <v>114464.96581766401</v>
      </c>
      <c r="AJ35" s="18"/>
      <c r="AK35">
        <v>288</v>
      </c>
      <c r="AL35" s="34">
        <f t="shared" si="48"/>
        <v>3.287671232876712E-2</v>
      </c>
      <c r="AM35" s="34">
        <f t="shared" si="36"/>
        <v>0.9671232876712329</v>
      </c>
      <c r="AN35" s="94">
        <f t="shared" si="37"/>
        <v>-135.20593124225755</v>
      </c>
      <c r="AO35" s="94">
        <f t="shared" si="38"/>
        <v>-67.602965621128774</v>
      </c>
      <c r="AP35" s="94">
        <f t="shared" si="39"/>
        <v>-4044.9107763308721</v>
      </c>
      <c r="AQ35" s="27"/>
      <c r="AR35" s="27"/>
      <c r="AS35" s="94">
        <f t="shared" si="40"/>
        <v>1814.0129108336218</v>
      </c>
      <c r="AT35" s="94">
        <f t="shared" si="41"/>
        <v>907.00645541681092</v>
      </c>
      <c r="AU35" s="27">
        <f t="shared" si="42"/>
        <v>54269.219582439197</v>
      </c>
      <c r="AV35" s="27"/>
      <c r="AW35" s="27"/>
      <c r="AX35" s="94">
        <f t="shared" si="43"/>
        <v>3763.2317529095012</v>
      </c>
      <c r="AY35" s="94">
        <f t="shared" si="44"/>
        <v>1881.6158764547506</v>
      </c>
      <c r="AZ35" s="27">
        <f t="shared" si="45"/>
        <v>112583.34994120925</v>
      </c>
      <c r="BA35" s="27"/>
      <c r="BB35" s="27"/>
      <c r="BC35" s="18"/>
      <c r="BP35" s="117"/>
      <c r="CC35" s="121"/>
      <c r="CF35" s="27"/>
      <c r="CG35" s="27"/>
      <c r="CH35" s="27"/>
      <c r="CI35" s="27"/>
      <c r="CJ35" s="27"/>
      <c r="CK35" s="27"/>
      <c r="CL35" s="27"/>
      <c r="CM35" s="27"/>
      <c r="CN35" s="27"/>
      <c r="CO35" s="27"/>
      <c r="CP35" s="27"/>
      <c r="CQ35" s="27"/>
      <c r="CR35" s="27"/>
      <c r="CS35" s="27"/>
      <c r="CT35" s="27"/>
      <c r="CU35" s="27"/>
      <c r="CV35" s="27"/>
      <c r="CW35" s="27"/>
      <c r="CX35" s="121"/>
      <c r="DA35" s="27"/>
      <c r="DB35" s="27"/>
      <c r="DC35" s="27"/>
      <c r="DD35" s="27"/>
      <c r="DE35" s="27"/>
      <c r="DF35" s="27"/>
      <c r="DG35" s="27"/>
      <c r="DH35" s="27"/>
      <c r="DI35" s="27"/>
      <c r="DJ35" s="27"/>
      <c r="DK35" s="27"/>
      <c r="DL35" s="27"/>
      <c r="DM35" s="27"/>
      <c r="DN35" s="27"/>
      <c r="DO35" s="27"/>
      <c r="DP35" s="27"/>
      <c r="DQ35" s="27"/>
      <c r="DR35" s="27"/>
      <c r="DS35" s="121"/>
      <c r="DY35" s="212"/>
      <c r="DZ35" s="212"/>
      <c r="EA35" s="212"/>
      <c r="EB35" s="212"/>
      <c r="EC35" s="212"/>
      <c r="ED35" s="212"/>
      <c r="EE35" s="212"/>
      <c r="EF35" s="212"/>
      <c r="EG35" s="212"/>
      <c r="EH35" s="212"/>
      <c r="EI35" s="212"/>
      <c r="EJ35" s="212"/>
      <c r="EK35" s="212"/>
      <c r="EL35" s="212"/>
      <c r="EM35" s="212"/>
      <c r="EN35" s="212"/>
      <c r="EO35" s="212"/>
      <c r="EP35" s="212"/>
      <c r="EQ35" s="212"/>
      <c r="ER35" s="212"/>
      <c r="ES35" s="212"/>
      <c r="ET35" s="212"/>
      <c r="EU35" s="212"/>
    </row>
    <row r="36" spans="1:151" x14ac:dyDescent="0.2">
      <c r="A36" s="3" t="s">
        <v>73</v>
      </c>
      <c r="B36">
        <v>1764</v>
      </c>
      <c r="C36">
        <v>1055</v>
      </c>
      <c r="D36">
        <v>0.98</v>
      </c>
      <c r="E36">
        <v>0.5</v>
      </c>
      <c r="F36" s="2">
        <f t="shared" si="24"/>
        <v>882</v>
      </c>
      <c r="G36" t="s">
        <v>11</v>
      </c>
      <c r="H36" s="20"/>
      <c r="I36" s="21"/>
      <c r="J36">
        <v>882</v>
      </c>
      <c r="K36" s="34">
        <f t="shared" si="25"/>
        <v>-7.9315200000000008</v>
      </c>
      <c r="L36" s="34">
        <f t="shared" si="47"/>
        <v>106.41455999999999</v>
      </c>
      <c r="M36" s="34">
        <f t="shared" si="26"/>
        <v>220.76064</v>
      </c>
      <c r="N36">
        <v>0.98</v>
      </c>
      <c r="O36" s="27">
        <f t="shared" si="27"/>
        <v>-6855.6886272000002</v>
      </c>
      <c r="P36" s="27">
        <f t="shared" si="28"/>
        <v>91980.489081599997</v>
      </c>
      <c r="Q36" s="27">
        <f t="shared" si="29"/>
        <v>190816.66679039999</v>
      </c>
      <c r="R36" s="27"/>
      <c r="S36" s="27"/>
      <c r="T36" s="27"/>
      <c r="U36" s="18"/>
      <c r="V36">
        <v>2.3999999999999998E-3</v>
      </c>
      <c r="W36">
        <v>0.99760000000000004</v>
      </c>
      <c r="X36" s="94">
        <f t="shared" si="30"/>
        <v>-16.45365270528</v>
      </c>
      <c r="Y36" s="94">
        <f t="shared" si="31"/>
        <v>220.75317379583998</v>
      </c>
      <c r="Z36" s="94">
        <f t="shared" si="32"/>
        <v>457.96000029695995</v>
      </c>
      <c r="AA36" s="94">
        <f t="shared" si="33"/>
        <v>-6839.2349744947205</v>
      </c>
      <c r="AB36" s="94">
        <f t="shared" si="34"/>
        <v>91759.735907804163</v>
      </c>
      <c r="AC36" s="94">
        <f t="shared" si="35"/>
        <v>190358.70679010305</v>
      </c>
      <c r="AJ36" s="18"/>
      <c r="AK36">
        <v>43</v>
      </c>
      <c r="AL36" s="34">
        <f t="shared" si="48"/>
        <v>4.9086757990867581E-3</v>
      </c>
      <c r="AM36" s="34">
        <f t="shared" ref="AM36:AM50" si="49">1- AL36</f>
        <v>0.99509132420091329</v>
      </c>
      <c r="AN36" s="94">
        <f t="shared" si="37"/>
        <v>-33.571587203569976</v>
      </c>
      <c r="AO36" s="94">
        <f t="shared" ref="AO36:AO50" si="50" xml:space="preserve"> AN36 / 2</f>
        <v>-16.785793601784988</v>
      </c>
      <c r="AP36" s="94">
        <f t="shared" ref="AP36:AP50" si="51">$AA36*$AM36 + AO36</f>
        <v>-6822.4491808929361</v>
      </c>
      <c r="AQ36" s="27"/>
      <c r="AR36" s="27"/>
      <c r="AS36" s="94">
        <f t="shared" ref="AS36:AS50" si="52">$AL36*$AB36</f>
        <v>450.41879498123046</v>
      </c>
      <c r="AT36" s="94">
        <f t="shared" ref="AT36:AT50" si="53" xml:space="preserve"> AS36 / 2</f>
        <v>225.20939749061523</v>
      </c>
      <c r="AU36" s="27">
        <f t="shared" ref="AU36:AU50" si="54">$AM36*$AB36 + AT36</f>
        <v>91534.526510313546</v>
      </c>
      <c r="AV36" s="27"/>
      <c r="AW36" s="27"/>
      <c r="AX36" s="94">
        <f t="shared" si="43"/>
        <v>934.40917716603099</v>
      </c>
      <c r="AY36" s="94">
        <f t="shared" ref="AY36:AY50" si="55" xml:space="preserve"> AX36 / 2</f>
        <v>467.20458858301549</v>
      </c>
      <c r="AZ36" s="27">
        <f t="shared" ref="AZ36:AZ50" si="56">$AM36*$AC36 + AY36</f>
        <v>189891.50220152002</v>
      </c>
      <c r="BA36" s="27"/>
      <c r="BB36" s="27"/>
      <c r="BC36" s="18"/>
      <c r="BP36" s="117"/>
      <c r="CC36" s="121"/>
      <c r="CF36" s="27"/>
      <c r="CG36" s="27"/>
      <c r="CH36" s="27"/>
      <c r="CI36" s="27"/>
      <c r="CJ36" s="27"/>
      <c r="CK36" s="27"/>
      <c r="CL36" s="27"/>
      <c r="CM36" s="27"/>
      <c r="CN36" s="27"/>
      <c r="CO36" s="27"/>
      <c r="CP36" s="27"/>
      <c r="CQ36" s="27"/>
      <c r="CR36" s="27"/>
      <c r="CS36" s="27"/>
      <c r="CT36" s="27"/>
      <c r="CU36" s="27"/>
      <c r="CV36" s="27"/>
      <c r="CW36" s="27"/>
      <c r="CX36" s="121"/>
      <c r="DA36" s="27"/>
      <c r="DB36" s="27"/>
      <c r="DC36" s="27"/>
      <c r="DD36" s="27"/>
      <c r="DE36" s="27"/>
      <c r="DF36" s="27"/>
      <c r="DG36" s="27"/>
      <c r="DH36" s="27"/>
      <c r="DI36" s="27"/>
      <c r="DJ36" s="27"/>
      <c r="DK36" s="27"/>
      <c r="DL36" s="27"/>
      <c r="DM36" s="27"/>
      <c r="DN36" s="27"/>
      <c r="DO36" s="27"/>
      <c r="DP36" s="27"/>
      <c r="DQ36" s="27"/>
      <c r="DR36" s="27"/>
      <c r="DS36" s="121"/>
      <c r="DY36" s="212"/>
      <c r="DZ36" s="212"/>
      <c r="EA36" s="212"/>
      <c r="EB36" s="212"/>
      <c r="EC36" s="212"/>
      <c r="ED36" s="212"/>
      <c r="EE36" s="212"/>
      <c r="EF36" s="212"/>
      <c r="EG36" s="212"/>
      <c r="EH36" s="212"/>
      <c r="EI36" s="212"/>
      <c r="EJ36" s="212"/>
      <c r="EK36" s="212"/>
      <c r="EL36" s="212"/>
      <c r="EM36" s="212"/>
      <c r="EN36" s="212"/>
      <c r="EO36" s="212"/>
      <c r="EP36" s="212"/>
      <c r="EQ36" s="212"/>
      <c r="ER36" s="212"/>
      <c r="ES36" s="212"/>
      <c r="ET36" s="212"/>
      <c r="EU36" s="212"/>
    </row>
    <row r="37" spans="1:151" x14ac:dyDescent="0.2">
      <c r="A37" s="3" t="s">
        <v>59</v>
      </c>
      <c r="B37">
        <v>1648</v>
      </c>
      <c r="C37">
        <v>2043</v>
      </c>
      <c r="D37">
        <v>0.85</v>
      </c>
      <c r="F37" s="2">
        <f>B37*D37</f>
        <v>1400.8</v>
      </c>
      <c r="G37" t="s">
        <v>126</v>
      </c>
      <c r="H37" s="20"/>
      <c r="I37" s="21"/>
      <c r="J37">
        <v>1401</v>
      </c>
      <c r="K37" s="34">
        <f t="shared" si="25"/>
        <v>-7.9315200000000008</v>
      </c>
      <c r="L37" s="34">
        <f t="shared" si="47"/>
        <v>106.41455999999999</v>
      </c>
      <c r="M37" s="34">
        <f t="shared" si="26"/>
        <v>220.76064</v>
      </c>
      <c r="N37">
        <v>0.85</v>
      </c>
      <c r="O37" s="27">
        <f t="shared" si="27"/>
        <v>-9445.2505920000003</v>
      </c>
      <c r="P37" s="27">
        <f t="shared" si="28"/>
        <v>126723.77877599999</v>
      </c>
      <c r="Q37" s="27">
        <f t="shared" si="29"/>
        <v>262892.80814400001</v>
      </c>
      <c r="R37" s="27"/>
      <c r="S37" s="27"/>
      <c r="T37" s="27"/>
      <c r="U37" s="18"/>
      <c r="V37">
        <v>2.3999999999999998E-3</v>
      </c>
      <c r="W37">
        <v>0.99760000000000004</v>
      </c>
      <c r="X37" s="94">
        <f t="shared" si="30"/>
        <v>-22.668601420799998</v>
      </c>
      <c r="Y37" s="94">
        <f t="shared" si="31"/>
        <v>304.13706906239997</v>
      </c>
      <c r="Z37" s="94">
        <f t="shared" si="32"/>
        <v>630.94273954559992</v>
      </c>
      <c r="AA37" s="94">
        <f t="shared" si="33"/>
        <v>-9422.5819905792014</v>
      </c>
      <c r="AB37" s="94">
        <f t="shared" si="34"/>
        <v>126419.6417069376</v>
      </c>
      <c r="AC37" s="94">
        <f t="shared" si="35"/>
        <v>262261.86540445441</v>
      </c>
      <c r="AJ37" s="18"/>
      <c r="AK37">
        <v>207</v>
      </c>
      <c r="AL37" s="34">
        <f t="shared" si="48"/>
        <v>2.363013698630137E-2</v>
      </c>
      <c r="AM37" s="34">
        <f t="shared" si="49"/>
        <v>0.97636986301369866</v>
      </c>
      <c r="AN37" s="94">
        <f t="shared" si="37"/>
        <v>-222.65690320204277</v>
      </c>
      <c r="AO37" s="94">
        <f t="shared" si="50"/>
        <v>-111.32845160102138</v>
      </c>
      <c r="AP37" s="94">
        <f t="shared" si="51"/>
        <v>-9311.2535389781788</v>
      </c>
      <c r="AQ37" s="27"/>
      <c r="AR37" s="27"/>
      <c r="AS37" s="94">
        <f t="shared" si="52"/>
        <v>2987.3134512940737</v>
      </c>
      <c r="AT37" s="94">
        <f t="shared" si="53"/>
        <v>1493.6567256470369</v>
      </c>
      <c r="AU37" s="27">
        <f t="shared" si="54"/>
        <v>124925.98498129056</v>
      </c>
      <c r="AV37" s="27"/>
      <c r="AW37" s="27"/>
      <c r="AX37" s="94">
        <f t="shared" si="43"/>
        <v>6197.2838057901899</v>
      </c>
      <c r="AY37" s="94">
        <f t="shared" si="55"/>
        <v>3098.641902895095</v>
      </c>
      <c r="AZ37" s="27">
        <f t="shared" si="56"/>
        <v>259163.22350155932</v>
      </c>
      <c r="BA37" s="27"/>
      <c r="BB37" s="27"/>
      <c r="BC37" s="18"/>
      <c r="BP37" s="117"/>
      <c r="CC37" s="121"/>
      <c r="CF37" s="27"/>
      <c r="CG37" s="27"/>
      <c r="CH37" s="27"/>
      <c r="CI37" s="27"/>
      <c r="CJ37" s="27"/>
      <c r="CK37" s="27"/>
      <c r="CL37" s="27"/>
      <c r="CM37" s="27"/>
      <c r="CN37" s="27"/>
      <c r="CO37" s="27"/>
      <c r="CP37" s="27"/>
      <c r="CQ37" s="27"/>
      <c r="CR37" s="27"/>
      <c r="CS37" s="27"/>
      <c r="CT37" s="27"/>
      <c r="CU37" s="27"/>
      <c r="CV37" s="27"/>
      <c r="CW37" s="27"/>
      <c r="CX37" s="121"/>
      <c r="DA37" s="27"/>
      <c r="DB37" s="27"/>
      <c r="DC37" s="27"/>
      <c r="DD37" s="27"/>
      <c r="DE37" s="27"/>
      <c r="DF37" s="27"/>
      <c r="DG37" s="27"/>
      <c r="DH37" s="27"/>
      <c r="DI37" s="27"/>
      <c r="DJ37" s="27"/>
      <c r="DK37" s="27"/>
      <c r="DL37" s="27"/>
      <c r="DM37" s="27"/>
      <c r="DN37" s="27"/>
      <c r="DO37" s="27"/>
      <c r="DP37" s="27"/>
      <c r="DQ37" s="27"/>
      <c r="DR37" s="27"/>
      <c r="DS37" s="121"/>
      <c r="DY37" s="212"/>
      <c r="DZ37" s="212"/>
      <c r="EA37" s="212"/>
      <c r="EB37" s="212"/>
      <c r="EC37" s="212"/>
      <c r="ED37" s="212"/>
      <c r="EE37" s="212"/>
      <c r="EF37" s="212"/>
      <c r="EG37" s="212"/>
      <c r="EH37" s="212"/>
      <c r="EI37" s="212"/>
      <c r="EJ37" s="212"/>
      <c r="EK37" s="212"/>
      <c r="EL37" s="212"/>
      <c r="EM37" s="212"/>
      <c r="EN37" s="212"/>
      <c r="EO37" s="212"/>
      <c r="EP37" s="212"/>
      <c r="EQ37" s="212"/>
      <c r="ER37" s="212"/>
      <c r="ES37" s="212"/>
      <c r="ET37" s="212"/>
      <c r="EU37" s="212"/>
    </row>
    <row r="38" spans="1:151" x14ac:dyDescent="0.2">
      <c r="A38" s="3" t="s">
        <v>60</v>
      </c>
      <c r="B38">
        <v>1503</v>
      </c>
      <c r="C38">
        <v>3031</v>
      </c>
      <c r="D38">
        <v>0.21</v>
      </c>
      <c r="F38" s="2">
        <f>B38*D38</f>
        <v>315.63</v>
      </c>
      <c r="G38" t="s">
        <v>16</v>
      </c>
      <c r="H38" s="20"/>
      <c r="I38" s="21"/>
      <c r="J38">
        <v>316</v>
      </c>
      <c r="K38" s="34">
        <f t="shared" si="25"/>
        <v>-7.9315200000000008</v>
      </c>
      <c r="L38" s="34">
        <f t="shared" si="47"/>
        <v>106.41455999999999</v>
      </c>
      <c r="M38" s="34">
        <f t="shared" si="26"/>
        <v>220.76064</v>
      </c>
      <c r="N38">
        <v>0.21</v>
      </c>
      <c r="O38" s="27">
        <f t="shared" si="27"/>
        <v>-526.33566719999999</v>
      </c>
      <c r="P38" s="27">
        <f t="shared" si="28"/>
        <v>7061.670201599999</v>
      </c>
      <c r="Q38" s="27">
        <f t="shared" si="29"/>
        <v>14649.676070400001</v>
      </c>
      <c r="R38" s="27"/>
      <c r="S38" s="27"/>
      <c r="T38" s="27"/>
      <c r="U38" s="18"/>
      <c r="V38">
        <v>2.3999999999999998E-3</v>
      </c>
      <c r="W38">
        <v>0.99760000000000004</v>
      </c>
      <c r="X38" s="94">
        <f t="shared" si="30"/>
        <v>-1.2632056012799999</v>
      </c>
      <c r="Y38" s="94">
        <f t="shared" si="31"/>
        <v>16.948008483839995</v>
      </c>
      <c r="Z38" s="94">
        <f t="shared" si="32"/>
        <v>35.159222568959997</v>
      </c>
      <c r="AA38" s="94">
        <f t="shared" si="33"/>
        <v>-525.07246159872</v>
      </c>
      <c r="AB38" s="94">
        <f t="shared" si="34"/>
        <v>7044.7221931161594</v>
      </c>
      <c r="AC38" s="94">
        <f t="shared" si="35"/>
        <v>14614.516847831041</v>
      </c>
      <c r="AJ38" s="18"/>
      <c r="AK38">
        <v>315</v>
      </c>
      <c r="AL38" s="34">
        <f t="shared" si="48"/>
        <v>3.5958904109589039E-2</v>
      </c>
      <c r="AM38" s="34">
        <f t="shared" si="49"/>
        <v>0.96404109589041098</v>
      </c>
      <c r="AN38" s="94">
        <f t="shared" si="37"/>
        <v>-18.881030297214245</v>
      </c>
      <c r="AO38" s="94">
        <f t="shared" si="50"/>
        <v>-9.4405151486071226</v>
      </c>
      <c r="AP38" s="94">
        <f t="shared" si="51"/>
        <v>-515.63194645011288</v>
      </c>
      <c r="AQ38" s="27"/>
      <c r="AR38" s="27"/>
      <c r="AS38" s="94">
        <f t="shared" si="52"/>
        <v>253.32048982095776</v>
      </c>
      <c r="AT38" s="94">
        <f t="shared" si="53"/>
        <v>126.66024491047888</v>
      </c>
      <c r="AU38" s="27">
        <f t="shared" si="54"/>
        <v>6918.06194820568</v>
      </c>
      <c r="AV38" s="27"/>
      <c r="AW38" s="27"/>
      <c r="AX38" s="94">
        <f t="shared" si="43"/>
        <v>525.52200993912982</v>
      </c>
      <c r="AY38" s="94">
        <f t="shared" si="55"/>
        <v>262.76100496956491</v>
      </c>
      <c r="AZ38" s="27">
        <f t="shared" si="56"/>
        <v>14351.755842861476</v>
      </c>
      <c r="BA38" s="27"/>
      <c r="BB38" s="27"/>
      <c r="BC38" s="18"/>
      <c r="BP38" s="117"/>
      <c r="CC38" s="121"/>
      <c r="CF38" s="27"/>
      <c r="CG38" s="27"/>
      <c r="CH38" s="27"/>
      <c r="CI38" s="27"/>
      <c r="CJ38" s="27"/>
      <c r="CK38" s="27"/>
      <c r="CL38" s="27"/>
      <c r="CM38" s="27"/>
      <c r="CN38" s="27"/>
      <c r="CO38" s="27"/>
      <c r="CP38" s="27"/>
      <c r="CQ38" s="27"/>
      <c r="CR38" s="27"/>
      <c r="CS38" s="27"/>
      <c r="CT38" s="27"/>
      <c r="CU38" s="27"/>
      <c r="CV38" s="27"/>
      <c r="CW38" s="27"/>
      <c r="CX38" s="121"/>
      <c r="DA38" s="27"/>
      <c r="DB38" s="27"/>
      <c r="DC38" s="27"/>
      <c r="DD38" s="27"/>
      <c r="DE38" s="27"/>
      <c r="DF38" s="27"/>
      <c r="DG38" s="27"/>
      <c r="DH38" s="27"/>
      <c r="DI38" s="27"/>
      <c r="DJ38" s="27"/>
      <c r="DK38" s="27"/>
      <c r="DL38" s="27"/>
      <c r="DM38" s="27"/>
      <c r="DN38" s="27"/>
      <c r="DO38" s="27"/>
      <c r="DP38" s="27"/>
      <c r="DQ38" s="27"/>
      <c r="DR38" s="27"/>
      <c r="DS38" s="121"/>
      <c r="DY38" s="212"/>
      <c r="DZ38" s="212"/>
      <c r="EA38" s="212"/>
      <c r="EB38" s="212"/>
      <c r="EC38" s="212"/>
      <c r="ED38" s="212"/>
      <c r="EE38" s="212"/>
      <c r="EF38" s="212"/>
      <c r="EG38" s="212"/>
      <c r="EH38" s="212"/>
      <c r="EI38" s="212"/>
      <c r="EJ38" s="212"/>
      <c r="EK38" s="212"/>
      <c r="EL38" s="212"/>
      <c r="EM38" s="212"/>
      <c r="EN38" s="212"/>
      <c r="EO38" s="212"/>
      <c r="EP38" s="212"/>
      <c r="EQ38" s="212"/>
      <c r="ER38" s="212"/>
      <c r="ES38" s="212"/>
      <c r="ET38" s="212"/>
      <c r="EU38" s="212"/>
    </row>
    <row r="39" spans="1:151" x14ac:dyDescent="0.2">
      <c r="A39" s="3" t="s">
        <v>61</v>
      </c>
      <c r="B39">
        <v>1913</v>
      </c>
      <c r="C39">
        <v>1266</v>
      </c>
      <c r="D39">
        <v>3.65</v>
      </c>
      <c r="E39">
        <v>1.59</v>
      </c>
      <c r="F39" s="2">
        <f t="shared" ref="F39:F50" si="57">B39*E39</f>
        <v>3041.67</v>
      </c>
      <c r="G39" t="s">
        <v>11</v>
      </c>
      <c r="H39" s="20"/>
      <c r="I39" s="21"/>
      <c r="J39">
        <v>3042</v>
      </c>
      <c r="K39" s="34">
        <f t="shared" si="25"/>
        <v>-7.9315200000000008</v>
      </c>
      <c r="L39" s="34">
        <f t="shared" si="47"/>
        <v>106.41455999999999</v>
      </c>
      <c r="M39" s="34">
        <f t="shared" si="26"/>
        <v>220.76064</v>
      </c>
      <c r="N39">
        <v>1.59</v>
      </c>
      <c r="O39" s="27">
        <f t="shared" si="27"/>
        <v>-38363.017305600006</v>
      </c>
      <c r="P39" s="27">
        <f t="shared" si="28"/>
        <v>514703.81551679998</v>
      </c>
      <c r="Q39" s="27">
        <f t="shared" si="29"/>
        <v>1067770.6483392001</v>
      </c>
      <c r="R39" s="27"/>
      <c r="S39" s="27"/>
      <c r="T39" s="27"/>
      <c r="U39" s="18"/>
      <c r="V39">
        <v>2.3999999999999998E-3</v>
      </c>
      <c r="W39">
        <v>0.99760000000000004</v>
      </c>
      <c r="X39" s="94">
        <f t="shared" si="30"/>
        <v>-92.071241533440002</v>
      </c>
      <c r="Y39" s="94">
        <f t="shared" si="31"/>
        <v>1235.2891572403198</v>
      </c>
      <c r="Z39" s="94">
        <f t="shared" si="32"/>
        <v>2562.6495560140797</v>
      </c>
      <c r="AA39" s="94">
        <f t="shared" si="33"/>
        <v>-38270.946064066564</v>
      </c>
      <c r="AB39" s="94">
        <f t="shared" si="34"/>
        <v>513468.52635955968</v>
      </c>
      <c r="AC39" s="94">
        <f t="shared" si="35"/>
        <v>1065207.9987831861</v>
      </c>
      <c r="AJ39" s="18"/>
      <c r="AK39">
        <v>114</v>
      </c>
      <c r="AL39" s="34">
        <f t="shared" si="48"/>
        <v>1.3013698630136987E-2</v>
      </c>
      <c r="AM39" s="34">
        <f t="shared" si="49"/>
        <v>0.98698630136986298</v>
      </c>
      <c r="AN39" s="94">
        <f t="shared" si="37"/>
        <v>-498.04655836798952</v>
      </c>
      <c r="AO39" s="94">
        <f t="shared" si="50"/>
        <v>-249.02327918399476</v>
      </c>
      <c r="AP39" s="94">
        <f t="shared" si="51"/>
        <v>-38021.922784882569</v>
      </c>
      <c r="AQ39" s="27"/>
      <c r="AR39" s="27"/>
      <c r="AS39" s="94">
        <f t="shared" si="52"/>
        <v>6682.1246581038586</v>
      </c>
      <c r="AT39" s="94">
        <f t="shared" si="53"/>
        <v>3341.0623290519293</v>
      </c>
      <c r="AU39" s="27">
        <f t="shared" si="54"/>
        <v>510127.46403050778</v>
      </c>
      <c r="AV39" s="27"/>
      <c r="AW39" s="27"/>
      <c r="AX39" s="94">
        <f t="shared" si="43"/>
        <v>13862.29587457571</v>
      </c>
      <c r="AY39" s="94">
        <f t="shared" si="55"/>
        <v>6931.1479372878548</v>
      </c>
      <c r="AZ39" s="27">
        <f t="shared" si="56"/>
        <v>1058276.850845898</v>
      </c>
      <c r="BA39" s="27"/>
      <c r="BB39" s="27"/>
      <c r="BC39" s="18"/>
      <c r="BP39" s="117"/>
      <c r="CC39" s="121"/>
      <c r="CF39" s="27"/>
      <c r="CG39" s="27"/>
      <c r="CH39" s="27"/>
      <c r="CI39" s="27"/>
      <c r="CJ39" s="27"/>
      <c r="CK39" s="27"/>
      <c r="CL39" s="27"/>
      <c r="CM39" s="27"/>
      <c r="CN39" s="27"/>
      <c r="CO39" s="27"/>
      <c r="CP39" s="27"/>
      <c r="CQ39" s="27"/>
      <c r="CR39" s="27"/>
      <c r="CS39" s="27"/>
      <c r="CT39" s="27"/>
      <c r="CU39" s="27"/>
      <c r="CV39" s="27"/>
      <c r="CW39" s="27"/>
      <c r="CX39" s="121"/>
      <c r="DA39" s="27"/>
      <c r="DB39" s="27"/>
      <c r="DC39" s="27"/>
      <c r="DD39" s="27"/>
      <c r="DE39" s="27"/>
      <c r="DF39" s="27"/>
      <c r="DG39" s="27"/>
      <c r="DH39" s="27"/>
      <c r="DI39" s="27"/>
      <c r="DJ39" s="27"/>
      <c r="DK39" s="27"/>
      <c r="DL39" s="27"/>
      <c r="DM39" s="27"/>
      <c r="DN39" s="27"/>
      <c r="DO39" s="27"/>
      <c r="DP39" s="27"/>
      <c r="DQ39" s="27"/>
      <c r="DR39" s="27"/>
      <c r="DS39" s="121"/>
      <c r="DY39" s="212"/>
      <c r="DZ39" s="212"/>
      <c r="EA39" s="212"/>
      <c r="EB39" s="212"/>
      <c r="EC39" s="212"/>
      <c r="ED39" s="212"/>
      <c r="EE39" s="212"/>
      <c r="EF39" s="212"/>
      <c r="EG39" s="212"/>
      <c r="EH39" s="212"/>
      <c r="EI39" s="212"/>
      <c r="EJ39" s="212"/>
      <c r="EK39" s="212"/>
      <c r="EL39" s="212"/>
      <c r="EM39" s="212"/>
      <c r="EN39" s="212"/>
      <c r="EO39" s="212"/>
      <c r="EP39" s="212"/>
      <c r="EQ39" s="212"/>
      <c r="ER39" s="212"/>
      <c r="ES39" s="212"/>
      <c r="ET39" s="212"/>
      <c r="EU39" s="212"/>
    </row>
    <row r="40" spans="1:151" x14ac:dyDescent="0.2">
      <c r="A40" s="3" t="s">
        <v>62</v>
      </c>
      <c r="B40">
        <v>1890</v>
      </c>
      <c r="C40">
        <v>1398</v>
      </c>
      <c r="D40">
        <v>0.62</v>
      </c>
      <c r="E40">
        <v>0.55000000000000004</v>
      </c>
      <c r="F40" s="2">
        <f t="shared" si="57"/>
        <v>1039.5</v>
      </c>
      <c r="G40" t="s">
        <v>11</v>
      </c>
      <c r="H40" s="20"/>
      <c r="I40" s="21"/>
      <c r="J40">
        <v>1040</v>
      </c>
      <c r="K40" s="34">
        <f t="shared" si="25"/>
        <v>-7.9315200000000008</v>
      </c>
      <c r="L40" s="34">
        <f t="shared" si="47"/>
        <v>106.41455999999999</v>
      </c>
      <c r="M40" s="34">
        <f t="shared" si="26"/>
        <v>220.76064</v>
      </c>
      <c r="N40">
        <v>0.55000000000000004</v>
      </c>
      <c r="O40" s="27">
        <f t="shared" si="27"/>
        <v>-4536.8294400000004</v>
      </c>
      <c r="P40" s="27">
        <f t="shared" si="28"/>
        <v>60869.128320000003</v>
      </c>
      <c r="Q40" s="27">
        <f t="shared" si="29"/>
        <v>126275.08608000001</v>
      </c>
      <c r="R40" s="27"/>
      <c r="S40" s="27"/>
      <c r="T40" s="27"/>
      <c r="U40" s="18"/>
      <c r="V40">
        <v>2.3999999999999998E-3</v>
      </c>
      <c r="W40">
        <v>0.99760000000000004</v>
      </c>
      <c r="X40" s="94">
        <f t="shared" si="30"/>
        <v>-10.888390656</v>
      </c>
      <c r="Y40" s="94">
        <f t="shared" si="31"/>
        <v>146.08590796799999</v>
      </c>
      <c r="Z40" s="94">
        <f t="shared" si="32"/>
        <v>303.06020659199999</v>
      </c>
      <c r="AA40" s="94">
        <f t="shared" si="33"/>
        <v>-4525.9410493440009</v>
      </c>
      <c r="AB40" s="94">
        <f t="shared" si="34"/>
        <v>60723.042412032009</v>
      </c>
      <c r="AC40" s="94">
        <f t="shared" si="35"/>
        <v>125972.02587340801</v>
      </c>
      <c r="AJ40" s="18"/>
      <c r="AK40">
        <v>147</v>
      </c>
      <c r="AL40" s="34">
        <f t="shared" si="48"/>
        <v>1.678082191780822E-2</v>
      </c>
      <c r="AM40" s="34">
        <f t="shared" si="49"/>
        <v>0.98321917808219172</v>
      </c>
      <c r="AN40" s="94">
        <f t="shared" si="37"/>
        <v>-75.949010759539746</v>
      </c>
      <c r="AO40" s="94">
        <f t="shared" si="50"/>
        <v>-37.974505379769873</v>
      </c>
      <c r="AP40" s="94">
        <f t="shared" si="51"/>
        <v>-4487.9665439642304</v>
      </c>
      <c r="AQ40" s="27"/>
      <c r="AR40" s="27"/>
      <c r="AS40" s="94">
        <f t="shared" si="52"/>
        <v>1018.9825610238248</v>
      </c>
      <c r="AT40" s="94">
        <f t="shared" si="53"/>
        <v>509.49128051191241</v>
      </c>
      <c r="AU40" s="27">
        <f t="shared" si="54"/>
        <v>60213.551131520093</v>
      </c>
      <c r="AV40" s="27"/>
      <c r="AW40" s="27"/>
      <c r="AX40" s="94">
        <f t="shared" si="43"/>
        <v>2113.9141328071892</v>
      </c>
      <c r="AY40" s="94">
        <f t="shared" si="55"/>
        <v>1056.9570664035946</v>
      </c>
      <c r="AZ40" s="27">
        <f t="shared" si="56"/>
        <v>124915.06880700441</v>
      </c>
      <c r="BA40" s="27"/>
      <c r="BB40" s="27"/>
      <c r="BC40" s="18"/>
      <c r="BP40" s="117"/>
      <c r="CC40" s="121"/>
      <c r="CF40" s="27"/>
      <c r="CG40" s="27"/>
      <c r="CH40" s="27"/>
      <c r="CI40" s="27"/>
      <c r="CJ40" s="27"/>
      <c r="CK40" s="27"/>
      <c r="CL40" s="27"/>
      <c r="CM40" s="27"/>
      <c r="CN40" s="27"/>
      <c r="CO40" s="27"/>
      <c r="CP40" s="27"/>
      <c r="CQ40" s="27"/>
      <c r="CR40" s="27"/>
      <c r="CS40" s="27"/>
      <c r="CT40" s="27"/>
      <c r="CU40" s="27"/>
      <c r="CV40" s="27"/>
      <c r="CW40" s="27"/>
      <c r="CX40" s="121"/>
      <c r="DA40" s="27"/>
      <c r="DB40" s="27"/>
      <c r="DC40" s="27"/>
      <c r="DD40" s="27"/>
      <c r="DE40" s="27"/>
      <c r="DF40" s="27"/>
      <c r="DG40" s="27"/>
      <c r="DH40" s="27"/>
      <c r="DI40" s="27"/>
      <c r="DJ40" s="27"/>
      <c r="DK40" s="27"/>
      <c r="DL40" s="27"/>
      <c r="DM40" s="27"/>
      <c r="DN40" s="27"/>
      <c r="DO40" s="27"/>
      <c r="DP40" s="27"/>
      <c r="DQ40" s="27"/>
      <c r="DR40" s="27"/>
      <c r="DS40" s="121"/>
      <c r="DY40" s="212"/>
      <c r="DZ40" s="212"/>
      <c r="EA40" s="212"/>
      <c r="EB40" s="212"/>
      <c r="EC40" s="212"/>
      <c r="ED40" s="212"/>
      <c r="EE40" s="212"/>
      <c r="EF40" s="212"/>
      <c r="EG40" s="212"/>
      <c r="EH40" s="212"/>
      <c r="EI40" s="212"/>
      <c r="EJ40" s="212"/>
      <c r="EK40" s="212"/>
      <c r="EL40" s="212"/>
      <c r="EM40" s="212"/>
      <c r="EN40" s="212"/>
      <c r="EO40" s="212"/>
      <c r="EP40" s="212"/>
      <c r="EQ40" s="212"/>
      <c r="ER40" s="212"/>
      <c r="ES40" s="212"/>
      <c r="ET40" s="212"/>
      <c r="EU40" s="212"/>
    </row>
    <row r="41" spans="1:151" x14ac:dyDescent="0.2">
      <c r="A41" s="3" t="s">
        <v>63</v>
      </c>
      <c r="B41">
        <v>1776</v>
      </c>
      <c r="C41">
        <v>1568</v>
      </c>
      <c r="D41">
        <v>2.66</v>
      </c>
      <c r="E41">
        <v>1.78</v>
      </c>
      <c r="F41" s="2">
        <f t="shared" si="57"/>
        <v>3161.28</v>
      </c>
      <c r="G41" t="s">
        <v>11</v>
      </c>
      <c r="H41" s="20"/>
      <c r="I41" s="21"/>
      <c r="J41">
        <v>3161</v>
      </c>
      <c r="K41" s="34">
        <f t="shared" si="25"/>
        <v>-7.9315200000000008</v>
      </c>
      <c r="L41" s="34">
        <f t="shared" si="47"/>
        <v>106.41455999999999</v>
      </c>
      <c r="M41" s="34">
        <f t="shared" si="26"/>
        <v>220.76064</v>
      </c>
      <c r="N41">
        <v>1.78</v>
      </c>
      <c r="O41" s="27">
        <f t="shared" si="27"/>
        <v>-44627.331801600005</v>
      </c>
      <c r="P41" s="27">
        <f t="shared" si="28"/>
        <v>598750.03500479995</v>
      </c>
      <c r="Q41" s="27">
        <f t="shared" si="29"/>
        <v>1242127.4018112</v>
      </c>
      <c r="R41" s="27"/>
      <c r="S41" s="27"/>
      <c r="T41" s="27"/>
      <c r="U41" s="18"/>
      <c r="V41">
        <v>2.3999999999999998E-3</v>
      </c>
      <c r="W41">
        <v>0.99760000000000004</v>
      </c>
      <c r="X41" s="94">
        <f t="shared" si="30"/>
        <v>-107.10559632384</v>
      </c>
      <c r="Y41" s="94">
        <f t="shared" si="31"/>
        <v>1437.0000840115197</v>
      </c>
      <c r="Z41" s="94">
        <f t="shared" si="32"/>
        <v>2981.1057643468798</v>
      </c>
      <c r="AA41" s="94">
        <f t="shared" si="33"/>
        <v>-44520.226205276165</v>
      </c>
      <c r="AB41" s="94">
        <f t="shared" si="34"/>
        <v>597313.03492078849</v>
      </c>
      <c r="AC41" s="94">
        <f t="shared" si="35"/>
        <v>1239146.2960468531</v>
      </c>
      <c r="AJ41" s="18"/>
      <c r="AK41">
        <v>8</v>
      </c>
      <c r="AL41" s="34">
        <f t="shared" si="48"/>
        <v>9.1324200913242006E-4</v>
      </c>
      <c r="AM41" s="34">
        <f t="shared" si="49"/>
        <v>0.99908675799086755</v>
      </c>
      <c r="AN41" s="94">
        <f t="shared" si="37"/>
        <v>-40.657740826736223</v>
      </c>
      <c r="AO41" s="94">
        <f t="shared" si="50"/>
        <v>-20.328870413368112</v>
      </c>
      <c r="AP41" s="94">
        <f t="shared" si="51"/>
        <v>-44499.897334862791</v>
      </c>
      <c r="AQ41" s="27"/>
      <c r="AR41" s="27"/>
      <c r="AS41" s="94">
        <f t="shared" si="52"/>
        <v>545.49135609204427</v>
      </c>
      <c r="AT41" s="94">
        <f t="shared" si="53"/>
        <v>272.74567804602214</v>
      </c>
      <c r="AU41" s="27">
        <f t="shared" si="54"/>
        <v>597040.28924274247</v>
      </c>
      <c r="AV41" s="27"/>
      <c r="AW41" s="27"/>
      <c r="AX41" s="94">
        <f t="shared" si="43"/>
        <v>1131.6404530108248</v>
      </c>
      <c r="AY41" s="94">
        <f t="shared" si="55"/>
        <v>565.82022650541239</v>
      </c>
      <c r="AZ41" s="27">
        <f t="shared" si="56"/>
        <v>1238580.4758203477</v>
      </c>
      <c r="BA41" s="27"/>
      <c r="BB41" s="27"/>
      <c r="BC41" s="18"/>
      <c r="BP41" s="117"/>
      <c r="CC41" s="121"/>
      <c r="CF41" s="27"/>
      <c r="CG41" s="27"/>
      <c r="CH41" s="27"/>
      <c r="CI41" s="27"/>
      <c r="CJ41" s="27"/>
      <c r="CK41" s="27"/>
      <c r="CL41" s="27"/>
      <c r="CM41" s="27"/>
      <c r="CN41" s="27"/>
      <c r="CO41" s="27"/>
      <c r="CP41" s="27"/>
      <c r="CQ41" s="27"/>
      <c r="CR41" s="27"/>
      <c r="CS41" s="27"/>
      <c r="CT41" s="27"/>
      <c r="CU41" s="27"/>
      <c r="CV41" s="27"/>
      <c r="CW41" s="27"/>
      <c r="CX41" s="121"/>
      <c r="DA41" s="27"/>
      <c r="DB41" s="27"/>
      <c r="DC41" s="27"/>
      <c r="DD41" s="27"/>
      <c r="DE41" s="27"/>
      <c r="DF41" s="27"/>
      <c r="DG41" s="27"/>
      <c r="DH41" s="27"/>
      <c r="DI41" s="27"/>
      <c r="DJ41" s="27"/>
      <c r="DK41" s="27"/>
      <c r="DL41" s="27"/>
      <c r="DM41" s="27"/>
      <c r="DN41" s="27"/>
      <c r="DO41" s="27"/>
      <c r="DP41" s="27"/>
      <c r="DQ41" s="27"/>
      <c r="DR41" s="27"/>
      <c r="DS41" s="121"/>
      <c r="DY41" s="212"/>
      <c r="DZ41" s="212"/>
      <c r="EA41" s="212"/>
      <c r="EB41" s="212"/>
      <c r="EC41" s="212"/>
      <c r="ED41" s="212"/>
      <c r="EE41" s="212"/>
      <c r="EF41" s="212"/>
      <c r="EG41" s="212"/>
      <c r="EH41" s="212"/>
      <c r="EI41" s="212"/>
      <c r="EJ41" s="212"/>
      <c r="EK41" s="212"/>
      <c r="EL41" s="212"/>
      <c r="EM41" s="212"/>
      <c r="EN41" s="212"/>
      <c r="EO41" s="212"/>
      <c r="EP41" s="212"/>
      <c r="EQ41" s="212"/>
      <c r="ER41" s="212"/>
      <c r="ES41" s="212"/>
      <c r="ET41" s="212"/>
      <c r="EU41" s="212"/>
    </row>
    <row r="42" spans="1:151" x14ac:dyDescent="0.2">
      <c r="A42" s="3" t="s">
        <v>64</v>
      </c>
      <c r="B42">
        <v>1755</v>
      </c>
      <c r="C42">
        <v>4018</v>
      </c>
      <c r="D42">
        <v>1.21</v>
      </c>
      <c r="E42">
        <v>1</v>
      </c>
      <c r="F42" s="2">
        <f t="shared" si="57"/>
        <v>1755</v>
      </c>
      <c r="G42" t="s">
        <v>11</v>
      </c>
      <c r="H42" s="20"/>
      <c r="I42" s="21"/>
      <c r="J42">
        <v>1755</v>
      </c>
      <c r="K42" s="34">
        <f t="shared" si="25"/>
        <v>-7.9315200000000008</v>
      </c>
      <c r="L42" s="34">
        <f t="shared" si="47"/>
        <v>106.41455999999999</v>
      </c>
      <c r="M42" s="34">
        <f t="shared" si="26"/>
        <v>220.76064</v>
      </c>
      <c r="N42">
        <v>1</v>
      </c>
      <c r="O42" s="27">
        <f t="shared" si="27"/>
        <v>-13919.817600000002</v>
      </c>
      <c r="P42" s="27">
        <f t="shared" si="28"/>
        <v>186757.55279999998</v>
      </c>
      <c r="Q42" s="27">
        <f t="shared" si="29"/>
        <v>387434.92320000002</v>
      </c>
      <c r="R42" s="27"/>
      <c r="S42" s="27"/>
      <c r="T42" s="27"/>
      <c r="U42" s="18"/>
      <c r="V42">
        <v>2.3999999999999998E-3</v>
      </c>
      <c r="W42">
        <v>0.99760000000000004</v>
      </c>
      <c r="X42" s="94">
        <f t="shared" si="30"/>
        <v>-33.407562240000004</v>
      </c>
      <c r="Y42" s="94">
        <f t="shared" si="31"/>
        <v>448.21812671999993</v>
      </c>
      <c r="Z42" s="94">
        <f t="shared" si="32"/>
        <v>929.84381567999992</v>
      </c>
      <c r="AA42" s="94">
        <f t="shared" si="33"/>
        <v>-13886.410037760003</v>
      </c>
      <c r="AB42" s="94">
        <f t="shared" si="34"/>
        <v>186309.33467327998</v>
      </c>
      <c r="AC42" s="94">
        <f t="shared" si="35"/>
        <v>386505.07938432001</v>
      </c>
      <c r="AJ42" s="18"/>
      <c r="AK42">
        <v>158</v>
      </c>
      <c r="AL42" s="34">
        <f t="shared" si="48"/>
        <v>1.8036529680365298E-2</v>
      </c>
      <c r="AM42" s="34">
        <f t="shared" si="49"/>
        <v>0.98196347031963471</v>
      </c>
      <c r="AN42" s="94">
        <f t="shared" si="37"/>
        <v>-250.46264679978088</v>
      </c>
      <c r="AO42" s="94">
        <f t="shared" si="50"/>
        <v>-125.23132339989044</v>
      </c>
      <c r="AP42" s="94">
        <f t="shared" si="51"/>
        <v>-13761.178714360112</v>
      </c>
      <c r="AQ42" s="27"/>
      <c r="AR42" s="27"/>
      <c r="AS42" s="94">
        <f t="shared" si="52"/>
        <v>3360.3738445637259</v>
      </c>
      <c r="AT42" s="94">
        <f t="shared" si="53"/>
        <v>1680.186922281863</v>
      </c>
      <c r="AU42" s="27">
        <f t="shared" si="54"/>
        <v>184629.14775099812</v>
      </c>
      <c r="AV42" s="27"/>
      <c r="AW42" s="27"/>
      <c r="AX42" s="94">
        <f t="shared" si="43"/>
        <v>6971.2103359272332</v>
      </c>
      <c r="AY42" s="94">
        <f t="shared" si="55"/>
        <v>3485.6051679636166</v>
      </c>
      <c r="AZ42" s="27">
        <f t="shared" si="56"/>
        <v>383019.47421635641</v>
      </c>
      <c r="BA42" s="27"/>
      <c r="BB42" s="27"/>
      <c r="BC42" s="18"/>
      <c r="BP42" s="117"/>
      <c r="CC42" s="121"/>
      <c r="CF42" s="27"/>
      <c r="CG42" s="27"/>
      <c r="CH42" s="27"/>
      <c r="CI42" s="27"/>
      <c r="CJ42" s="27"/>
      <c r="CK42" s="27"/>
      <c r="CL42" s="27"/>
      <c r="CM42" s="27"/>
      <c r="CN42" s="27"/>
      <c r="CO42" s="27"/>
      <c r="CP42" s="27"/>
      <c r="CQ42" s="27"/>
      <c r="CR42" s="27"/>
      <c r="CS42" s="27"/>
      <c r="CT42" s="27"/>
      <c r="CU42" s="27"/>
      <c r="CV42" s="27"/>
      <c r="CW42" s="27"/>
      <c r="CX42" s="121"/>
      <c r="DA42" s="27"/>
      <c r="DB42" s="27"/>
      <c r="DC42" s="27"/>
      <c r="DD42" s="27"/>
      <c r="DE42" s="27"/>
      <c r="DF42" s="27"/>
      <c r="DG42" s="27"/>
      <c r="DH42" s="27"/>
      <c r="DI42" s="27"/>
      <c r="DJ42" s="27"/>
      <c r="DK42" s="27"/>
      <c r="DL42" s="27"/>
      <c r="DM42" s="27"/>
      <c r="DN42" s="27"/>
      <c r="DO42" s="27"/>
      <c r="DP42" s="27"/>
      <c r="DQ42" s="27"/>
      <c r="DR42" s="27"/>
      <c r="DS42" s="121"/>
      <c r="DY42" s="212"/>
      <c r="DZ42" s="212"/>
      <c r="EA42" s="212"/>
      <c r="EB42" s="212"/>
      <c r="EC42" s="212"/>
      <c r="ED42" s="212"/>
      <c r="EE42" s="212"/>
      <c r="EF42" s="212"/>
      <c r="EG42" s="212"/>
      <c r="EH42" s="212"/>
      <c r="EI42" s="212"/>
      <c r="EJ42" s="212"/>
      <c r="EK42" s="212"/>
      <c r="EL42" s="212"/>
      <c r="EM42" s="212"/>
      <c r="EN42" s="212"/>
      <c r="EO42" s="212"/>
      <c r="EP42" s="212"/>
      <c r="EQ42" s="212"/>
      <c r="ER42" s="212"/>
      <c r="ES42" s="212"/>
      <c r="ET42" s="212"/>
      <c r="EU42" s="212"/>
    </row>
    <row r="43" spans="1:151" x14ac:dyDescent="0.2">
      <c r="A43" s="3" t="s">
        <v>65</v>
      </c>
      <c r="B43">
        <v>1894</v>
      </c>
      <c r="C43">
        <v>4029</v>
      </c>
      <c r="D43">
        <v>2.13</v>
      </c>
      <c r="E43">
        <v>1.1599999999999999</v>
      </c>
      <c r="F43" s="2">
        <f t="shared" si="57"/>
        <v>2197.04</v>
      </c>
      <c r="G43" t="s">
        <v>11</v>
      </c>
      <c r="H43" s="20"/>
      <c r="I43" s="21"/>
      <c r="J43">
        <v>2197</v>
      </c>
      <c r="K43" s="34">
        <f t="shared" si="25"/>
        <v>-7.9315200000000008</v>
      </c>
      <c r="L43" s="34">
        <f t="shared" si="47"/>
        <v>106.41455999999999</v>
      </c>
      <c r="M43" s="34">
        <f t="shared" si="26"/>
        <v>220.76064</v>
      </c>
      <c r="N43">
        <v>1.1599999999999999</v>
      </c>
      <c r="O43" s="27">
        <f t="shared" si="27"/>
        <v>-20213.6373504</v>
      </c>
      <c r="P43" s="27">
        <f t="shared" si="28"/>
        <v>271199.63445119996</v>
      </c>
      <c r="Q43" s="27">
        <f t="shared" si="29"/>
        <v>562612.90625280002</v>
      </c>
      <c r="R43" s="27"/>
      <c r="S43" s="27"/>
      <c r="T43" s="27"/>
      <c r="U43" s="18"/>
      <c r="V43">
        <v>2.3999999999999998E-3</v>
      </c>
      <c r="W43">
        <v>0.99760000000000004</v>
      </c>
      <c r="X43" s="94">
        <f t="shared" si="30"/>
        <v>-48.512729640959996</v>
      </c>
      <c r="Y43" s="94">
        <f t="shared" si="31"/>
        <v>650.87912268287982</v>
      </c>
      <c r="Z43" s="94">
        <f t="shared" si="32"/>
        <v>1350.2709750067199</v>
      </c>
      <c r="AA43" s="94">
        <f t="shared" si="33"/>
        <v>-20165.124620759041</v>
      </c>
      <c r="AB43" s="94">
        <f t="shared" si="34"/>
        <v>270548.75532851712</v>
      </c>
      <c r="AC43" s="94">
        <f t="shared" si="35"/>
        <v>561262.63527779328</v>
      </c>
      <c r="AJ43" s="18"/>
      <c r="AK43">
        <v>584</v>
      </c>
      <c r="AL43" s="34">
        <f t="shared" si="48"/>
        <v>6.6666666666666666E-2</v>
      </c>
      <c r="AM43" s="34">
        <f t="shared" si="49"/>
        <v>0.93333333333333335</v>
      </c>
      <c r="AN43" s="94">
        <f t="shared" si="37"/>
        <v>-1344.3416413839361</v>
      </c>
      <c r="AO43" s="94">
        <f t="shared" si="50"/>
        <v>-672.17082069196806</v>
      </c>
      <c r="AP43" s="94">
        <f t="shared" si="51"/>
        <v>-19492.953800067073</v>
      </c>
      <c r="AQ43" s="27"/>
      <c r="AR43" s="27"/>
      <c r="AS43" s="94">
        <f t="shared" si="52"/>
        <v>18036.583688567807</v>
      </c>
      <c r="AT43" s="94">
        <f t="shared" si="53"/>
        <v>9018.2918442839036</v>
      </c>
      <c r="AU43" s="27">
        <f t="shared" si="54"/>
        <v>261530.46348423322</v>
      </c>
      <c r="AV43" s="27"/>
      <c r="AW43" s="27"/>
      <c r="AX43" s="94">
        <f t="shared" si="43"/>
        <v>37417.509018519551</v>
      </c>
      <c r="AY43" s="94">
        <f t="shared" si="55"/>
        <v>18708.754509259776</v>
      </c>
      <c r="AZ43" s="27">
        <f t="shared" si="56"/>
        <v>542553.88076853356</v>
      </c>
      <c r="BA43" s="27"/>
      <c r="BB43" s="27"/>
      <c r="BC43" s="18"/>
      <c r="BP43" s="117"/>
      <c r="CC43" s="121"/>
      <c r="CF43" s="27"/>
      <c r="CG43" s="27"/>
      <c r="CH43" s="27"/>
      <c r="CI43" s="27"/>
      <c r="CJ43" s="27"/>
      <c r="CK43" s="27"/>
      <c r="CL43" s="27"/>
      <c r="CM43" s="27"/>
      <c r="CN43" s="27"/>
      <c r="CO43" s="27"/>
      <c r="CP43" s="27"/>
      <c r="CQ43" s="27"/>
      <c r="CR43" s="27"/>
      <c r="CS43" s="27"/>
      <c r="CT43" s="27"/>
      <c r="CU43" s="27"/>
      <c r="CV43" s="27"/>
      <c r="CW43" s="27"/>
      <c r="CX43" s="121"/>
      <c r="DA43" s="27"/>
      <c r="DB43" s="27"/>
      <c r="DC43" s="27"/>
      <c r="DD43" s="27"/>
      <c r="DE43" s="27"/>
      <c r="DF43" s="27"/>
      <c r="DG43" s="27"/>
      <c r="DH43" s="27"/>
      <c r="DI43" s="27"/>
      <c r="DJ43" s="27"/>
      <c r="DK43" s="27"/>
      <c r="DL43" s="27"/>
      <c r="DM43" s="27"/>
      <c r="DN43" s="27"/>
      <c r="DO43" s="27"/>
      <c r="DP43" s="27"/>
      <c r="DQ43" s="27"/>
      <c r="DR43" s="27"/>
      <c r="DS43" s="121"/>
      <c r="DY43" s="212"/>
      <c r="DZ43" s="212"/>
      <c r="EA43" s="212"/>
      <c r="EB43" s="212"/>
      <c r="EC43" s="212"/>
      <c r="ED43" s="212"/>
      <c r="EE43" s="212"/>
      <c r="EF43" s="212"/>
      <c r="EG43" s="212"/>
      <c r="EH43" s="212"/>
      <c r="EI43" s="212"/>
      <c r="EJ43" s="212"/>
      <c r="EK43" s="212"/>
      <c r="EL43" s="212"/>
      <c r="EM43" s="212"/>
      <c r="EN43" s="212"/>
      <c r="EO43" s="212"/>
      <c r="EP43" s="212"/>
      <c r="EQ43" s="212"/>
      <c r="ER43" s="212"/>
      <c r="ES43" s="212"/>
      <c r="ET43" s="212"/>
      <c r="EU43" s="212"/>
    </row>
    <row r="44" spans="1:151" x14ac:dyDescent="0.2">
      <c r="A44" s="3" t="s">
        <v>66</v>
      </c>
      <c r="B44">
        <v>1656</v>
      </c>
      <c r="C44">
        <v>957</v>
      </c>
      <c r="D44">
        <v>2.15</v>
      </c>
      <c r="E44">
        <v>1</v>
      </c>
      <c r="F44" s="2">
        <f t="shared" si="57"/>
        <v>1656</v>
      </c>
      <c r="G44" t="s">
        <v>11</v>
      </c>
      <c r="H44" s="20"/>
      <c r="I44" s="21"/>
      <c r="J44">
        <v>1656</v>
      </c>
      <c r="K44" s="34">
        <f t="shared" si="25"/>
        <v>-7.9315200000000008</v>
      </c>
      <c r="L44" s="34">
        <f t="shared" si="47"/>
        <v>106.41455999999999</v>
      </c>
      <c r="M44" s="34">
        <f t="shared" si="26"/>
        <v>220.76064</v>
      </c>
      <c r="N44">
        <v>1</v>
      </c>
      <c r="O44" s="27">
        <f t="shared" si="27"/>
        <v>-13134.597120000002</v>
      </c>
      <c r="P44" s="27">
        <f t="shared" si="28"/>
        <v>176222.51136</v>
      </c>
      <c r="Q44" s="27">
        <f t="shared" si="29"/>
        <v>365579.61984</v>
      </c>
      <c r="R44" s="27"/>
      <c r="S44" s="27"/>
      <c r="T44" s="27"/>
      <c r="U44" s="18"/>
      <c r="V44">
        <v>2.3999999999999998E-3</v>
      </c>
      <c r="W44">
        <v>0.99760000000000004</v>
      </c>
      <c r="X44" s="94">
        <f t="shared" si="30"/>
        <v>-31.523033088000002</v>
      </c>
      <c r="Y44" s="94">
        <f t="shared" si="31"/>
        <v>422.93402726399995</v>
      </c>
      <c r="Z44" s="94">
        <f t="shared" si="32"/>
        <v>877.39108761599994</v>
      </c>
      <c r="AA44" s="94">
        <f t="shared" si="33"/>
        <v>-13103.074086912004</v>
      </c>
      <c r="AB44" s="94">
        <f t="shared" si="34"/>
        <v>175799.57733273602</v>
      </c>
      <c r="AC44" s="94">
        <f t="shared" si="35"/>
        <v>364702.22875238402</v>
      </c>
      <c r="AJ44" s="18"/>
      <c r="AK44">
        <v>0</v>
      </c>
      <c r="AL44" s="34">
        <f t="shared" si="48"/>
        <v>0</v>
      </c>
      <c r="AM44" s="34">
        <f t="shared" si="49"/>
        <v>1</v>
      </c>
      <c r="AN44" s="94">
        <f t="shared" si="37"/>
        <v>0</v>
      </c>
      <c r="AO44" s="94">
        <f t="shared" si="50"/>
        <v>0</v>
      </c>
      <c r="AP44" s="94">
        <f t="shared" si="51"/>
        <v>-13103.074086912004</v>
      </c>
      <c r="AQ44" s="27"/>
      <c r="AR44" s="27"/>
      <c r="AS44" s="94">
        <f t="shared" si="52"/>
        <v>0</v>
      </c>
      <c r="AT44" s="94">
        <f t="shared" si="53"/>
        <v>0</v>
      </c>
      <c r="AU44" s="27">
        <f t="shared" si="54"/>
        <v>175799.57733273602</v>
      </c>
      <c r="AV44" s="27"/>
      <c r="AW44" s="27"/>
      <c r="AX44" s="94">
        <f t="shared" si="43"/>
        <v>0</v>
      </c>
      <c r="AY44" s="94">
        <f t="shared" si="55"/>
        <v>0</v>
      </c>
      <c r="AZ44" s="27">
        <f t="shared" si="56"/>
        <v>364702.22875238402</v>
      </c>
      <c r="BA44" s="27"/>
      <c r="BB44" s="27"/>
      <c r="BC44" s="18"/>
      <c r="BP44" s="117"/>
      <c r="CC44" s="121"/>
      <c r="CF44" s="27"/>
      <c r="CG44" s="27"/>
      <c r="CH44" s="27"/>
      <c r="CI44" s="27"/>
      <c r="CJ44" s="27"/>
      <c r="CK44" s="27"/>
      <c r="CL44" s="27"/>
      <c r="CM44" s="27"/>
      <c r="CN44" s="27"/>
      <c r="CO44" s="27"/>
      <c r="CP44" s="27"/>
      <c r="CQ44" s="27"/>
      <c r="CR44" s="27"/>
      <c r="CS44" s="27"/>
      <c r="CT44" s="27"/>
      <c r="CU44" s="27"/>
      <c r="CV44" s="27"/>
      <c r="CW44" s="27"/>
      <c r="CX44" s="121"/>
      <c r="DA44" s="27"/>
      <c r="DB44" s="27"/>
      <c r="DC44" s="27"/>
      <c r="DD44" s="27"/>
      <c r="DE44" s="27"/>
      <c r="DF44" s="27"/>
      <c r="DG44" s="27"/>
      <c r="DH44" s="27"/>
      <c r="DI44" s="27"/>
      <c r="DJ44" s="27"/>
      <c r="DK44" s="27"/>
      <c r="DL44" s="27"/>
      <c r="DM44" s="27"/>
      <c r="DN44" s="27"/>
      <c r="DO44" s="27"/>
      <c r="DP44" s="27"/>
      <c r="DQ44" s="27"/>
      <c r="DR44" s="27"/>
      <c r="DS44" s="121"/>
      <c r="DY44" s="212"/>
      <c r="DZ44" s="212"/>
      <c r="EA44" s="212"/>
      <c r="EB44" s="212"/>
      <c r="EC44" s="212"/>
      <c r="ED44" s="212"/>
      <c r="EE44" s="212"/>
      <c r="EF44" s="212"/>
      <c r="EG44" s="212"/>
      <c r="EH44" s="212"/>
      <c r="EI44" s="212"/>
      <c r="EJ44" s="212"/>
      <c r="EK44" s="212"/>
      <c r="EL44" s="212"/>
      <c r="EM44" s="212"/>
      <c r="EN44" s="212"/>
      <c r="EO44" s="212"/>
      <c r="EP44" s="212"/>
      <c r="EQ44" s="212"/>
      <c r="ER44" s="212"/>
      <c r="ES44" s="212"/>
      <c r="ET44" s="212"/>
      <c r="EU44" s="212"/>
    </row>
    <row r="45" spans="1:151" x14ac:dyDescent="0.2">
      <c r="A45" s="3" t="s">
        <v>67</v>
      </c>
      <c r="B45">
        <v>1299</v>
      </c>
      <c r="C45">
        <v>6774</v>
      </c>
      <c r="D45">
        <v>0.09</v>
      </c>
      <c r="E45">
        <v>0.13</v>
      </c>
      <c r="F45" s="2">
        <f t="shared" si="57"/>
        <v>168.87</v>
      </c>
      <c r="G45" t="s">
        <v>11</v>
      </c>
      <c r="H45" s="20"/>
      <c r="I45" s="21"/>
      <c r="J45">
        <v>169</v>
      </c>
      <c r="K45" s="34">
        <f t="shared" si="25"/>
        <v>-7.9315200000000008</v>
      </c>
      <c r="L45" s="34">
        <f t="shared" si="47"/>
        <v>106.41455999999999</v>
      </c>
      <c r="M45" s="34">
        <f t="shared" si="26"/>
        <v>220.76064</v>
      </c>
      <c r="N45">
        <v>0.13</v>
      </c>
      <c r="O45" s="27">
        <f t="shared" si="27"/>
        <v>-174.25549440000003</v>
      </c>
      <c r="P45" s="27">
        <f t="shared" si="28"/>
        <v>2337.9278832</v>
      </c>
      <c r="Q45" s="27">
        <f t="shared" si="29"/>
        <v>4850.1112608000003</v>
      </c>
      <c r="R45" s="27"/>
      <c r="S45" s="27"/>
      <c r="T45" s="27"/>
      <c r="U45" s="18"/>
      <c r="V45">
        <v>2.3999999999999998E-3</v>
      </c>
      <c r="W45">
        <v>0.99760000000000004</v>
      </c>
      <c r="X45" s="94">
        <f t="shared" si="30"/>
        <v>-0.41821318656000006</v>
      </c>
      <c r="Y45" s="94">
        <f t="shared" si="31"/>
        <v>5.6110269196799996</v>
      </c>
      <c r="Z45" s="94">
        <f t="shared" si="32"/>
        <v>11.64026702592</v>
      </c>
      <c r="AA45" s="94">
        <f t="shared" si="33"/>
        <v>-173.83728121344004</v>
      </c>
      <c r="AB45" s="94">
        <f t="shared" si="34"/>
        <v>2332.3168562803203</v>
      </c>
      <c r="AC45" s="94">
        <f t="shared" si="35"/>
        <v>4838.4709937740809</v>
      </c>
      <c r="AJ45" s="18"/>
      <c r="AK45">
        <v>320</v>
      </c>
      <c r="AL45" s="34">
        <f t="shared" si="48"/>
        <v>3.6529680365296802E-2</v>
      </c>
      <c r="AM45" s="34">
        <f t="shared" si="49"/>
        <v>0.9634703196347032</v>
      </c>
      <c r="AN45" s="94">
        <f t="shared" si="37"/>
        <v>-6.3502203182991792</v>
      </c>
      <c r="AO45" s="94">
        <f t="shared" si="50"/>
        <v>-3.1751101591495896</v>
      </c>
      <c r="AP45" s="94">
        <f t="shared" si="51"/>
        <v>-170.66217105429047</v>
      </c>
      <c r="AQ45" s="27"/>
      <c r="AR45" s="27"/>
      <c r="AS45" s="94">
        <f t="shared" si="52"/>
        <v>85.198789270513984</v>
      </c>
      <c r="AT45" s="94">
        <f t="shared" si="53"/>
        <v>42.599394635256992</v>
      </c>
      <c r="AU45" s="27">
        <f t="shared" si="54"/>
        <v>2289.7174616450634</v>
      </c>
      <c r="AV45" s="27"/>
      <c r="AW45" s="27"/>
      <c r="AX45" s="94">
        <f t="shared" si="43"/>
        <v>176.74779885932713</v>
      </c>
      <c r="AY45" s="94">
        <f t="shared" si="55"/>
        <v>88.373899429663567</v>
      </c>
      <c r="AZ45" s="27">
        <f t="shared" si="56"/>
        <v>4750.0970943444172</v>
      </c>
      <c r="BA45" s="27"/>
      <c r="BB45" s="27"/>
      <c r="BC45" s="18"/>
      <c r="BP45" s="117"/>
      <c r="CC45" s="121"/>
      <c r="CF45" s="27"/>
      <c r="CG45" s="27"/>
      <c r="CH45" s="27"/>
      <c r="CI45" s="27"/>
      <c r="CJ45" s="27"/>
      <c r="CK45" s="27"/>
      <c r="CL45" s="27"/>
      <c r="CM45" s="27"/>
      <c r="CN45" s="27"/>
      <c r="CO45" s="27"/>
      <c r="CP45" s="27"/>
      <c r="CQ45" s="27"/>
      <c r="CR45" s="27"/>
      <c r="CS45" s="27"/>
      <c r="CT45" s="27"/>
      <c r="CU45" s="27"/>
      <c r="CV45" s="27"/>
      <c r="CW45" s="27"/>
      <c r="CX45" s="121"/>
      <c r="DA45" s="27"/>
      <c r="DB45" s="27"/>
      <c r="DC45" s="27"/>
      <c r="DD45" s="27"/>
      <c r="DE45" s="27"/>
      <c r="DF45" s="27"/>
      <c r="DG45" s="27"/>
      <c r="DH45" s="27"/>
      <c r="DI45" s="27"/>
      <c r="DJ45" s="27"/>
      <c r="DK45" s="27"/>
      <c r="DL45" s="27"/>
      <c r="DM45" s="27"/>
      <c r="DN45" s="27"/>
      <c r="DO45" s="27"/>
      <c r="DP45" s="27"/>
      <c r="DQ45" s="27"/>
      <c r="DR45" s="27"/>
      <c r="DS45" s="121"/>
      <c r="DY45" s="212"/>
      <c r="DZ45" s="212"/>
      <c r="EA45" s="212"/>
      <c r="EB45" s="212"/>
      <c r="EC45" s="212"/>
      <c r="ED45" s="212"/>
      <c r="EE45" s="212"/>
      <c r="EF45" s="212"/>
      <c r="EG45" s="212"/>
      <c r="EH45" s="212"/>
      <c r="EI45" s="212"/>
      <c r="EJ45" s="212"/>
      <c r="EK45" s="212"/>
      <c r="EL45" s="212"/>
      <c r="EM45" s="212"/>
      <c r="EN45" s="212"/>
      <c r="EO45" s="212"/>
      <c r="EP45" s="212"/>
      <c r="EQ45" s="212"/>
      <c r="ER45" s="212"/>
      <c r="ES45" s="212"/>
      <c r="ET45" s="212"/>
      <c r="EU45" s="212"/>
    </row>
    <row r="46" spans="1:151" x14ac:dyDescent="0.2">
      <c r="A46" s="3" t="s">
        <v>68</v>
      </c>
      <c r="B46">
        <v>1300</v>
      </c>
      <c r="C46">
        <v>6063</v>
      </c>
      <c r="D46">
        <v>0.17</v>
      </c>
      <c r="E46">
        <v>0.18</v>
      </c>
      <c r="F46" s="2">
        <f t="shared" si="57"/>
        <v>234</v>
      </c>
      <c r="G46" t="s">
        <v>11</v>
      </c>
      <c r="H46" s="20"/>
      <c r="I46" s="21"/>
      <c r="J46">
        <v>234</v>
      </c>
      <c r="K46" s="34">
        <f t="shared" si="25"/>
        <v>-7.9315200000000008</v>
      </c>
      <c r="L46" s="34">
        <f t="shared" si="47"/>
        <v>106.41455999999999</v>
      </c>
      <c r="M46" s="34">
        <f t="shared" si="26"/>
        <v>220.76064</v>
      </c>
      <c r="N46">
        <v>0.18</v>
      </c>
      <c r="O46" s="27">
        <f t="shared" si="27"/>
        <v>-334.07562240000004</v>
      </c>
      <c r="P46" s="27">
        <f t="shared" si="28"/>
        <v>4482.1812671999996</v>
      </c>
      <c r="Q46" s="27">
        <f t="shared" si="29"/>
        <v>9298.438156799999</v>
      </c>
      <c r="R46" s="27"/>
      <c r="S46" s="27"/>
      <c r="T46" s="27"/>
      <c r="U46" s="18"/>
      <c r="V46">
        <v>2.3999999999999998E-3</v>
      </c>
      <c r="W46">
        <v>0.99760000000000004</v>
      </c>
      <c r="X46" s="94">
        <f t="shared" si="30"/>
        <v>-0.80178149376000007</v>
      </c>
      <c r="Y46" s="94">
        <f t="shared" si="31"/>
        <v>10.757235041279998</v>
      </c>
      <c r="Z46" s="94">
        <f t="shared" si="32"/>
        <v>22.316251576319996</v>
      </c>
      <c r="AA46" s="94">
        <f t="shared" si="33"/>
        <v>-333.27384090624008</v>
      </c>
      <c r="AB46" s="94">
        <f t="shared" si="34"/>
        <v>4471.4240321587195</v>
      </c>
      <c r="AC46" s="94">
        <f t="shared" si="35"/>
        <v>9276.1219052236793</v>
      </c>
      <c r="AJ46" s="18"/>
      <c r="AK46">
        <v>2</v>
      </c>
      <c r="AL46" s="34">
        <f t="shared" si="48"/>
        <v>2.2831050228310502E-4</v>
      </c>
      <c r="AM46" s="34">
        <f t="shared" si="49"/>
        <v>0.99977168949771689</v>
      </c>
      <c r="AN46" s="94">
        <f t="shared" si="37"/>
        <v>-7.6089918015123298E-2</v>
      </c>
      <c r="AO46" s="94">
        <f t="shared" si="50"/>
        <v>-3.8044959007561649E-2</v>
      </c>
      <c r="AP46" s="94">
        <f t="shared" si="51"/>
        <v>-333.23579594723253</v>
      </c>
      <c r="AQ46" s="27"/>
      <c r="AR46" s="27"/>
      <c r="AS46" s="94">
        <f t="shared" si="52"/>
        <v>1.020873066702904</v>
      </c>
      <c r="AT46" s="94">
        <f t="shared" si="53"/>
        <v>0.510436533351452</v>
      </c>
      <c r="AU46" s="27">
        <f t="shared" si="54"/>
        <v>4470.9135956253685</v>
      </c>
      <c r="AV46" s="27"/>
      <c r="AW46" s="27"/>
      <c r="AX46" s="94">
        <f t="shared" si="43"/>
        <v>2.1178360514209311</v>
      </c>
      <c r="AY46" s="94">
        <f t="shared" si="55"/>
        <v>1.0589180257104656</v>
      </c>
      <c r="AZ46" s="27">
        <f t="shared" si="56"/>
        <v>9275.0629871979691</v>
      </c>
      <c r="BA46" s="27"/>
      <c r="BB46" s="27"/>
      <c r="BC46" s="18"/>
      <c r="BP46" s="117"/>
      <c r="CC46" s="121"/>
      <c r="CF46" s="27"/>
      <c r="CG46" s="27"/>
      <c r="CH46" s="27"/>
      <c r="CI46" s="27"/>
      <c r="CJ46" s="27"/>
      <c r="CK46" s="27"/>
      <c r="CL46" s="27"/>
      <c r="CM46" s="27"/>
      <c r="CN46" s="27"/>
      <c r="CO46" s="27"/>
      <c r="CP46" s="27"/>
      <c r="CQ46" s="27"/>
      <c r="CR46" s="27"/>
      <c r="CS46" s="27"/>
      <c r="CT46" s="27"/>
      <c r="CU46" s="27"/>
      <c r="CV46" s="27"/>
      <c r="CW46" s="27"/>
      <c r="CX46" s="121"/>
      <c r="DA46" s="27"/>
      <c r="DB46" s="27"/>
      <c r="DC46" s="27"/>
      <c r="DD46" s="27"/>
      <c r="DE46" s="27"/>
      <c r="DF46" s="27"/>
      <c r="DG46" s="27"/>
      <c r="DH46" s="27"/>
      <c r="DI46" s="27"/>
      <c r="DJ46" s="27"/>
      <c r="DK46" s="27"/>
      <c r="DL46" s="27"/>
      <c r="DM46" s="27"/>
      <c r="DN46" s="27"/>
      <c r="DO46" s="27"/>
      <c r="DP46" s="27"/>
      <c r="DQ46" s="27"/>
      <c r="DR46" s="27"/>
      <c r="DS46" s="121"/>
      <c r="DY46" s="212"/>
      <c r="DZ46" s="212"/>
      <c r="EA46" s="212"/>
      <c r="EB46" s="212"/>
      <c r="EC46" s="212"/>
      <c r="ED46" s="212"/>
      <c r="EE46" s="212"/>
      <c r="EF46" s="212"/>
      <c r="EG46" s="212"/>
      <c r="EH46" s="212"/>
      <c r="EI46" s="212"/>
      <c r="EJ46" s="212"/>
      <c r="EK46" s="212"/>
      <c r="EL46" s="212"/>
      <c r="EM46" s="212"/>
      <c r="EN46" s="212"/>
      <c r="EO46" s="212"/>
      <c r="EP46" s="212"/>
      <c r="EQ46" s="212"/>
      <c r="ER46" s="212"/>
      <c r="ES46" s="212"/>
      <c r="ET46" s="212"/>
      <c r="EU46" s="212"/>
    </row>
    <row r="47" spans="1:151" x14ac:dyDescent="0.2">
      <c r="A47" s="3" t="s">
        <v>69</v>
      </c>
      <c r="B47">
        <v>1811</v>
      </c>
      <c r="C47">
        <v>1137</v>
      </c>
      <c r="D47">
        <v>0.16</v>
      </c>
      <c r="E47">
        <v>0.4</v>
      </c>
      <c r="F47" s="2">
        <f t="shared" si="57"/>
        <v>724.40000000000009</v>
      </c>
      <c r="G47" t="s">
        <v>11</v>
      </c>
      <c r="H47" s="20"/>
      <c r="I47" s="21"/>
      <c r="J47">
        <v>724</v>
      </c>
      <c r="K47" s="34">
        <f t="shared" si="25"/>
        <v>-7.9315200000000008</v>
      </c>
      <c r="L47" s="34">
        <f t="shared" si="47"/>
        <v>106.41455999999999</v>
      </c>
      <c r="M47" s="34">
        <f t="shared" si="26"/>
        <v>220.76064</v>
      </c>
      <c r="N47">
        <v>0.4</v>
      </c>
      <c r="O47" s="27">
        <f t="shared" si="27"/>
        <v>-2296.9681920000003</v>
      </c>
      <c r="P47" s="27">
        <f t="shared" si="28"/>
        <v>30817.656575999998</v>
      </c>
      <c r="Q47" s="27">
        <f t="shared" si="29"/>
        <v>63932.281343999995</v>
      </c>
      <c r="R47" s="27"/>
      <c r="S47" s="27"/>
      <c r="T47" s="27"/>
      <c r="U47" s="18"/>
      <c r="V47">
        <v>2.3999999999999998E-3</v>
      </c>
      <c r="W47">
        <v>0.99760000000000004</v>
      </c>
      <c r="X47" s="94">
        <f t="shared" si="30"/>
        <v>-5.5127236607999999</v>
      </c>
      <c r="Y47" s="94">
        <f t="shared" si="31"/>
        <v>73.962375782399988</v>
      </c>
      <c r="Z47" s="94">
        <f t="shared" si="32"/>
        <v>153.43747522559997</v>
      </c>
      <c r="AA47" s="94">
        <f t="shared" si="33"/>
        <v>-2291.4554683392003</v>
      </c>
      <c r="AB47" s="94">
        <f t="shared" si="34"/>
        <v>30743.6942002176</v>
      </c>
      <c r="AC47" s="94">
        <f t="shared" si="35"/>
        <v>63778.843868774398</v>
      </c>
      <c r="AJ47" s="18"/>
      <c r="AK47">
        <v>0</v>
      </c>
      <c r="AL47" s="34">
        <f t="shared" si="48"/>
        <v>0</v>
      </c>
      <c r="AM47" s="34">
        <f t="shared" si="49"/>
        <v>1</v>
      </c>
      <c r="AN47" s="94">
        <f t="shared" si="37"/>
        <v>0</v>
      </c>
      <c r="AO47" s="94">
        <f t="shared" si="50"/>
        <v>0</v>
      </c>
      <c r="AP47" s="94">
        <f t="shared" si="51"/>
        <v>-2291.4554683392003</v>
      </c>
      <c r="AQ47" s="27"/>
      <c r="AR47" s="27"/>
      <c r="AS47" s="94">
        <f t="shared" si="52"/>
        <v>0</v>
      </c>
      <c r="AT47" s="94">
        <f t="shared" si="53"/>
        <v>0</v>
      </c>
      <c r="AU47" s="27">
        <f t="shared" si="54"/>
        <v>30743.6942002176</v>
      </c>
      <c r="AV47" s="27"/>
      <c r="AW47" s="27"/>
      <c r="AX47" s="94">
        <f t="shared" si="43"/>
        <v>0</v>
      </c>
      <c r="AY47" s="94">
        <f t="shared" si="55"/>
        <v>0</v>
      </c>
      <c r="AZ47" s="27">
        <f t="shared" si="56"/>
        <v>63778.843868774398</v>
      </c>
      <c r="BA47" s="27"/>
      <c r="BB47" s="27"/>
      <c r="BC47" s="18"/>
      <c r="BP47" s="117"/>
      <c r="CC47" s="121"/>
      <c r="CF47" s="27"/>
      <c r="CG47" s="27"/>
      <c r="CH47" s="27"/>
      <c r="CI47" s="27"/>
      <c r="CJ47" s="27"/>
      <c r="CK47" s="27"/>
      <c r="CL47" s="27"/>
      <c r="CM47" s="27"/>
      <c r="CN47" s="27"/>
      <c r="CO47" s="27"/>
      <c r="CP47" s="27"/>
      <c r="CQ47" s="27"/>
      <c r="CR47" s="27"/>
      <c r="CS47" s="27"/>
      <c r="CT47" s="27"/>
      <c r="CU47" s="27"/>
      <c r="CV47" s="27"/>
      <c r="CW47" s="27"/>
      <c r="CX47" s="121"/>
      <c r="DA47" s="27"/>
      <c r="DB47" s="27"/>
      <c r="DC47" s="27"/>
      <c r="DD47" s="27"/>
      <c r="DE47" s="27"/>
      <c r="DF47" s="27"/>
      <c r="DG47" s="27"/>
      <c r="DH47" s="27"/>
      <c r="DI47" s="27"/>
      <c r="DJ47" s="27"/>
      <c r="DK47" s="27"/>
      <c r="DL47" s="27"/>
      <c r="DM47" s="27"/>
      <c r="DN47" s="27"/>
      <c r="DO47" s="27"/>
      <c r="DP47" s="27"/>
      <c r="DQ47" s="27"/>
      <c r="DR47" s="27"/>
      <c r="DS47" s="121"/>
      <c r="DY47" s="212"/>
      <c r="DZ47" s="212"/>
      <c r="EA47" s="212"/>
      <c r="EB47" s="212"/>
      <c r="EC47" s="212"/>
      <c r="ED47" s="212"/>
      <c r="EE47" s="212"/>
      <c r="EF47" s="212"/>
      <c r="EG47" s="212"/>
      <c r="EH47" s="212"/>
      <c r="EI47" s="212"/>
      <c r="EJ47" s="212"/>
      <c r="EK47" s="212"/>
      <c r="EL47" s="212"/>
      <c r="EM47" s="212"/>
      <c r="EN47" s="212"/>
      <c r="EO47" s="212"/>
      <c r="EP47" s="212"/>
      <c r="EQ47" s="212"/>
      <c r="ER47" s="212"/>
      <c r="ES47" s="212"/>
      <c r="ET47" s="212"/>
      <c r="EU47" s="212"/>
    </row>
    <row r="48" spans="1:151" x14ac:dyDescent="0.2">
      <c r="A48" s="3" t="s">
        <v>70</v>
      </c>
      <c r="B48">
        <v>1685</v>
      </c>
      <c r="C48">
        <v>1450</v>
      </c>
      <c r="D48">
        <v>0.06</v>
      </c>
      <c r="E48">
        <v>0.1</v>
      </c>
      <c r="F48" s="2">
        <f t="shared" si="57"/>
        <v>168.5</v>
      </c>
      <c r="G48" t="s">
        <v>11</v>
      </c>
      <c r="H48" s="20"/>
      <c r="I48" s="269"/>
      <c r="J48" s="247">
        <v>169</v>
      </c>
      <c r="K48" s="264">
        <f t="shared" si="25"/>
        <v>-7.9315200000000008</v>
      </c>
      <c r="L48" s="264">
        <f t="shared" si="47"/>
        <v>106.41455999999999</v>
      </c>
      <c r="M48" s="264">
        <f t="shared" si="26"/>
        <v>220.76064</v>
      </c>
      <c r="N48" s="247">
        <v>0.1</v>
      </c>
      <c r="O48" s="255">
        <f t="shared" si="27"/>
        <v>-134.04268800000003</v>
      </c>
      <c r="P48" s="255">
        <f t="shared" si="28"/>
        <v>1798.406064</v>
      </c>
      <c r="Q48" s="255">
        <f t="shared" si="29"/>
        <v>3730.854816</v>
      </c>
      <c r="R48" s="255"/>
      <c r="S48" s="255"/>
      <c r="T48" s="255"/>
      <c r="U48" s="21"/>
      <c r="V48">
        <v>2.3999999999999998E-3</v>
      </c>
      <c r="W48">
        <v>0.99760000000000004</v>
      </c>
      <c r="X48" s="94">
        <f t="shared" si="30"/>
        <v>-0.32170245120000002</v>
      </c>
      <c r="Y48" s="94">
        <f t="shared" si="31"/>
        <v>4.3161745535999998</v>
      </c>
      <c r="Z48" s="94">
        <f t="shared" si="32"/>
        <v>8.9540515583999998</v>
      </c>
      <c r="AA48" s="94">
        <f t="shared" si="33"/>
        <v>-133.72098554880003</v>
      </c>
      <c r="AB48" s="94">
        <f t="shared" si="34"/>
        <v>1794.0898894464001</v>
      </c>
      <c r="AC48" s="94">
        <f t="shared" si="35"/>
        <v>3721.9007644416001</v>
      </c>
      <c r="AJ48" s="18"/>
      <c r="AK48">
        <v>0</v>
      </c>
      <c r="AL48" s="34">
        <f t="shared" si="48"/>
        <v>0</v>
      </c>
      <c r="AM48" s="34">
        <f t="shared" si="49"/>
        <v>1</v>
      </c>
      <c r="AN48" s="94">
        <f t="shared" si="37"/>
        <v>0</v>
      </c>
      <c r="AO48" s="94">
        <f t="shared" si="50"/>
        <v>0</v>
      </c>
      <c r="AP48" s="94">
        <f t="shared" si="51"/>
        <v>-133.72098554880003</v>
      </c>
      <c r="AQ48" s="27"/>
      <c r="AR48" s="27"/>
      <c r="AS48" s="94">
        <f t="shared" si="52"/>
        <v>0</v>
      </c>
      <c r="AT48" s="94">
        <f t="shared" si="53"/>
        <v>0</v>
      </c>
      <c r="AU48" s="27">
        <f t="shared" si="54"/>
        <v>1794.0898894464001</v>
      </c>
      <c r="AV48" s="27"/>
      <c r="AW48" s="27"/>
      <c r="AX48" s="94">
        <f t="shared" si="43"/>
        <v>0</v>
      </c>
      <c r="AY48" s="94">
        <f t="shared" si="55"/>
        <v>0</v>
      </c>
      <c r="AZ48" s="27">
        <f t="shared" si="56"/>
        <v>3721.9007644416001</v>
      </c>
      <c r="BA48" s="27"/>
      <c r="BB48" s="27"/>
      <c r="BC48" s="18"/>
      <c r="BP48" s="117"/>
      <c r="CC48" s="121"/>
      <c r="CF48" s="27"/>
      <c r="CG48" s="27"/>
      <c r="CH48" s="27"/>
      <c r="CI48" s="27"/>
      <c r="CJ48" s="27"/>
      <c r="CK48" s="27"/>
      <c r="CL48" s="27"/>
      <c r="CM48" s="27"/>
      <c r="CN48" s="27"/>
      <c r="CO48" s="27"/>
      <c r="CP48" s="27"/>
      <c r="CQ48" s="27"/>
      <c r="CR48" s="27"/>
      <c r="CS48" s="27"/>
      <c r="CT48" s="27"/>
      <c r="CU48" s="27"/>
      <c r="CV48" s="27"/>
      <c r="CW48" s="27"/>
      <c r="CX48" s="121"/>
      <c r="DA48" s="27"/>
      <c r="DB48" s="27"/>
      <c r="DC48" s="27"/>
      <c r="DD48" s="27"/>
      <c r="DE48" s="27"/>
      <c r="DF48" s="27"/>
      <c r="DG48" s="27"/>
      <c r="DH48" s="27"/>
      <c r="DI48" s="27"/>
      <c r="DJ48" s="27"/>
      <c r="DK48" s="27"/>
      <c r="DL48" s="27"/>
      <c r="DM48" s="27"/>
      <c r="DN48" s="27"/>
      <c r="DO48" s="27"/>
      <c r="DP48" s="27"/>
      <c r="DQ48" s="27"/>
      <c r="DR48" s="27"/>
      <c r="DS48" s="121"/>
      <c r="DY48" s="212"/>
      <c r="DZ48" s="212"/>
      <c r="EA48" s="212"/>
      <c r="EB48" s="212"/>
      <c r="EC48" s="212"/>
      <c r="ED48" s="212"/>
      <c r="EE48" s="212"/>
      <c r="EF48" s="212"/>
      <c r="EG48" s="212"/>
      <c r="EH48" s="212"/>
      <c r="EI48" s="212"/>
      <c r="EJ48" s="212"/>
      <c r="EK48" s="212"/>
      <c r="EL48" s="212"/>
      <c r="EM48" s="212"/>
      <c r="EN48" s="212"/>
      <c r="EO48" s="212"/>
      <c r="EP48" s="212"/>
      <c r="EQ48" s="212"/>
      <c r="ER48" s="212"/>
      <c r="ES48" s="212"/>
      <c r="ET48" s="212"/>
      <c r="EU48" s="212"/>
    </row>
    <row r="49" spans="1:151" x14ac:dyDescent="0.2">
      <c r="A49" s="3" t="s">
        <v>71</v>
      </c>
      <c r="B49">
        <v>1693</v>
      </c>
      <c r="C49">
        <v>1035</v>
      </c>
      <c r="D49">
        <v>1.42</v>
      </c>
      <c r="E49">
        <v>1.1499999999999999</v>
      </c>
      <c r="F49" s="2">
        <f t="shared" si="57"/>
        <v>1946.9499999999998</v>
      </c>
      <c r="G49" t="s">
        <v>11</v>
      </c>
      <c r="H49" s="20"/>
      <c r="I49" s="269"/>
      <c r="J49" s="247">
        <v>1947</v>
      </c>
      <c r="K49" s="264">
        <f t="shared" si="25"/>
        <v>-7.9315200000000008</v>
      </c>
      <c r="L49" s="264">
        <f t="shared" si="47"/>
        <v>106.41455999999999</v>
      </c>
      <c r="M49" s="264">
        <f t="shared" si="26"/>
        <v>220.76064</v>
      </c>
      <c r="N49" s="247">
        <v>1.1499999999999999</v>
      </c>
      <c r="O49" s="255">
        <f t="shared" si="27"/>
        <v>-17759.069856000002</v>
      </c>
      <c r="P49" s="255">
        <f t="shared" si="28"/>
        <v>238267.52056799995</v>
      </c>
      <c r="Q49" s="255">
        <f t="shared" si="29"/>
        <v>494294.11099199991</v>
      </c>
      <c r="R49" s="255"/>
      <c r="S49" s="255"/>
      <c r="T49" s="255"/>
      <c r="U49" s="21"/>
      <c r="V49">
        <v>2.3999999999999998E-3</v>
      </c>
      <c r="W49">
        <v>0.99760000000000004</v>
      </c>
      <c r="X49" s="94">
        <f t="shared" si="30"/>
        <v>-42.621767654400003</v>
      </c>
      <c r="Y49" s="94">
        <f t="shared" si="31"/>
        <v>571.84204936319986</v>
      </c>
      <c r="Z49" s="94">
        <f t="shared" si="32"/>
        <v>1186.3058663807997</v>
      </c>
      <c r="AA49" s="94">
        <f t="shared" si="33"/>
        <v>-17716.448088345602</v>
      </c>
      <c r="AB49" s="94">
        <f t="shared" si="34"/>
        <v>237695.67851863676</v>
      </c>
      <c r="AC49" s="94">
        <f t="shared" si="35"/>
        <v>493107.80512561911</v>
      </c>
      <c r="AJ49" s="18"/>
      <c r="AK49">
        <v>155</v>
      </c>
      <c r="AL49" s="34">
        <f t="shared" si="48"/>
        <v>1.7694063926940638E-2</v>
      </c>
      <c r="AM49" s="34">
        <f t="shared" si="49"/>
        <v>0.98230593607305938</v>
      </c>
      <c r="AN49" s="94">
        <f t="shared" si="37"/>
        <v>-313.47596503351235</v>
      </c>
      <c r="AO49" s="94">
        <f t="shared" si="50"/>
        <v>-156.73798251675618</v>
      </c>
      <c r="AP49" s="94">
        <f t="shared" si="51"/>
        <v>-17559.710105828846</v>
      </c>
      <c r="AQ49" s="27"/>
      <c r="AR49" s="27"/>
      <c r="AS49" s="94">
        <f t="shared" si="52"/>
        <v>4205.8025308662891</v>
      </c>
      <c r="AT49" s="94">
        <f t="shared" si="53"/>
        <v>2102.9012654331445</v>
      </c>
      <c r="AU49" s="27">
        <f t="shared" si="54"/>
        <v>235592.77725320362</v>
      </c>
      <c r="AV49" s="27"/>
      <c r="AW49" s="27"/>
      <c r="AX49" s="94">
        <f t="shared" si="43"/>
        <v>8725.0810267660909</v>
      </c>
      <c r="AY49" s="94">
        <f t="shared" si="55"/>
        <v>4362.5405133830454</v>
      </c>
      <c r="AZ49" s="27">
        <f t="shared" si="56"/>
        <v>488745.26461223606</v>
      </c>
      <c r="BA49" s="27"/>
      <c r="BB49" s="27"/>
      <c r="BC49" s="18"/>
      <c r="BP49" s="117"/>
      <c r="CC49" s="121"/>
      <c r="CF49" s="27"/>
      <c r="CG49" s="27"/>
      <c r="CH49" s="27"/>
      <c r="CI49" s="27"/>
      <c r="CJ49" s="27"/>
      <c r="CK49" s="27"/>
      <c r="CL49" s="27"/>
      <c r="CM49" s="27"/>
      <c r="CN49" s="27"/>
      <c r="CO49" s="27"/>
      <c r="CP49" s="27"/>
      <c r="CQ49" s="27"/>
      <c r="CR49" s="27"/>
      <c r="CS49" s="27"/>
      <c r="CT49" s="27"/>
      <c r="CU49" s="27"/>
      <c r="CV49" s="27"/>
      <c r="CW49" s="27"/>
      <c r="CX49" s="121"/>
      <c r="DA49" s="27"/>
      <c r="DB49" s="27"/>
      <c r="DC49" s="27"/>
      <c r="DD49" s="27"/>
      <c r="DE49" s="27"/>
      <c r="DF49" s="27"/>
      <c r="DG49" s="27"/>
      <c r="DH49" s="27"/>
      <c r="DI49" s="27"/>
      <c r="DJ49" s="27"/>
      <c r="DK49" s="27"/>
      <c r="DL49" s="27"/>
      <c r="DM49" s="27"/>
      <c r="DN49" s="27"/>
      <c r="DO49" s="27"/>
      <c r="DP49" s="27"/>
      <c r="DQ49" s="27"/>
      <c r="DR49" s="27"/>
      <c r="DS49" s="121"/>
      <c r="DY49" s="212"/>
      <c r="DZ49" s="212"/>
      <c r="EA49" s="212"/>
      <c r="EB49" s="212"/>
      <c r="EC49" s="212"/>
      <c r="ED49" s="212"/>
      <c r="EE49" s="212"/>
      <c r="EF49" s="212"/>
      <c r="EG49" s="212"/>
      <c r="EH49" s="212"/>
      <c r="EI49" s="212"/>
      <c r="EJ49" s="212"/>
      <c r="EK49" s="212"/>
      <c r="EL49" s="212"/>
      <c r="EM49" s="212"/>
      <c r="EN49" s="212"/>
      <c r="EO49" s="212"/>
      <c r="EP49" s="212"/>
      <c r="EQ49" s="212"/>
      <c r="ER49" s="212"/>
      <c r="ES49" s="212"/>
      <c r="ET49" s="212"/>
      <c r="EU49" s="212"/>
    </row>
    <row r="50" spans="1:151" x14ac:dyDescent="0.2">
      <c r="A50" s="4" t="s">
        <v>72</v>
      </c>
      <c r="B50" s="5">
        <v>1595</v>
      </c>
      <c r="C50" s="5">
        <v>4718</v>
      </c>
      <c r="D50" s="5">
        <v>0.52</v>
      </c>
      <c r="E50" s="5">
        <v>0.6</v>
      </c>
      <c r="F50" s="13">
        <f t="shared" si="57"/>
        <v>957</v>
      </c>
      <c r="G50" t="s">
        <v>11</v>
      </c>
      <c r="H50" s="29"/>
      <c r="I50" s="73"/>
      <c r="J50" s="247">
        <v>957</v>
      </c>
      <c r="K50" s="264">
        <f t="shared" si="25"/>
        <v>-7.9315200000000008</v>
      </c>
      <c r="L50" s="264">
        <f t="shared" si="47"/>
        <v>106.41455999999999</v>
      </c>
      <c r="M50" s="264">
        <f t="shared" si="26"/>
        <v>220.76064</v>
      </c>
      <c r="N50" s="247">
        <v>0.6</v>
      </c>
      <c r="O50" s="255">
        <f t="shared" si="27"/>
        <v>-4554.2787840000001</v>
      </c>
      <c r="P50" s="255">
        <f t="shared" si="28"/>
        <v>61103.240351999993</v>
      </c>
      <c r="Q50" s="255">
        <f t="shared" si="29"/>
        <v>126760.75948799998</v>
      </c>
      <c r="R50" s="255"/>
      <c r="S50" s="255"/>
      <c r="T50" s="255"/>
      <c r="U50" s="30"/>
      <c r="V50">
        <v>2.3999999999999998E-3</v>
      </c>
      <c r="W50">
        <v>0.99760000000000004</v>
      </c>
      <c r="X50" s="94">
        <f t="shared" si="30"/>
        <v>-10.930269081599999</v>
      </c>
      <c r="Y50" s="94">
        <f t="shared" si="31"/>
        <v>146.64777684479998</v>
      </c>
      <c r="Z50" s="94">
        <f t="shared" si="32"/>
        <v>304.22582277119994</v>
      </c>
      <c r="AA50" s="94">
        <f t="shared" si="33"/>
        <v>-4543.3485149184007</v>
      </c>
      <c r="AB50" s="94">
        <f t="shared" si="34"/>
        <v>60956.592575155199</v>
      </c>
      <c r="AC50" s="94">
        <f t="shared" si="35"/>
        <v>126456.53366522878</v>
      </c>
      <c r="AJ50" s="19"/>
      <c r="AK50">
        <v>10</v>
      </c>
      <c r="AL50" s="34">
        <f t="shared" si="48"/>
        <v>1.1415525114155251E-3</v>
      </c>
      <c r="AM50" s="34">
        <f t="shared" si="49"/>
        <v>0.99885844748858443</v>
      </c>
      <c r="AN50" s="94">
        <f t="shared" si="37"/>
        <v>-5.1864709074410964</v>
      </c>
      <c r="AO50" s="94">
        <f t="shared" si="50"/>
        <v>-2.5932354537205482</v>
      </c>
      <c r="AP50" s="94">
        <f t="shared" si="51"/>
        <v>-4540.7552794646799</v>
      </c>
      <c r="AQ50" s="27"/>
      <c r="AR50" s="27"/>
      <c r="AS50" s="94">
        <f t="shared" si="52"/>
        <v>69.585151341501359</v>
      </c>
      <c r="AT50" s="94">
        <f t="shared" si="53"/>
        <v>34.792575670750679</v>
      </c>
      <c r="AU50" s="27">
        <f t="shared" si="54"/>
        <v>60921.799999484443</v>
      </c>
      <c r="AV50" s="27"/>
      <c r="AW50" s="27"/>
      <c r="AX50" s="94">
        <f t="shared" si="43"/>
        <v>144.35677359044379</v>
      </c>
      <c r="AY50" s="94">
        <f t="shared" si="55"/>
        <v>72.178386795221897</v>
      </c>
      <c r="AZ50" s="27">
        <f t="shared" si="56"/>
        <v>126384.35527843355</v>
      </c>
      <c r="BA50" s="27"/>
      <c r="BB50" s="27"/>
      <c r="BC50" s="18"/>
      <c r="BD50" s="5"/>
      <c r="BE50" s="5"/>
      <c r="BF50" s="5"/>
      <c r="BG50" s="5"/>
      <c r="BH50" s="5"/>
      <c r="BI50" s="5"/>
      <c r="BJ50" s="5"/>
      <c r="BK50" s="5"/>
      <c r="BL50" s="5"/>
      <c r="BM50" s="5"/>
      <c r="BN50" s="5"/>
      <c r="BO50" s="5"/>
      <c r="BP50" s="29"/>
      <c r="CC50" s="121"/>
      <c r="CF50" s="27"/>
      <c r="CG50" s="27"/>
      <c r="CH50" s="27"/>
      <c r="CI50" s="27"/>
      <c r="CJ50" s="27"/>
      <c r="CK50" s="27"/>
      <c r="CL50" s="27"/>
      <c r="CM50" s="27"/>
      <c r="CN50" s="27"/>
      <c r="CO50" s="27"/>
      <c r="CP50" s="27"/>
      <c r="CQ50" s="27"/>
      <c r="CR50" s="27"/>
      <c r="CS50" s="27"/>
      <c r="CT50" s="27"/>
      <c r="CU50" s="27"/>
      <c r="CV50" s="27"/>
      <c r="CW50" s="27"/>
      <c r="CX50" s="121"/>
      <c r="DA50" s="27"/>
      <c r="DB50" s="27"/>
      <c r="DC50" s="27"/>
      <c r="DD50" s="27"/>
      <c r="DE50" s="27"/>
      <c r="DF50" s="27"/>
      <c r="DG50" s="27"/>
      <c r="DH50" s="27"/>
      <c r="DI50" s="27"/>
      <c r="DJ50" s="27"/>
      <c r="DK50" s="27"/>
      <c r="DL50" s="27"/>
      <c r="DM50" s="27"/>
      <c r="DN50" s="27"/>
      <c r="DO50" s="27"/>
      <c r="DP50" s="27"/>
      <c r="DQ50" s="27"/>
      <c r="DR50" s="27"/>
      <c r="DS50" s="121"/>
      <c r="DY50" s="212"/>
      <c r="DZ50" s="212"/>
      <c r="EA50" s="212"/>
      <c r="EB50" s="212"/>
      <c r="EC50" s="212"/>
      <c r="ED50" s="212"/>
      <c r="EE50" s="212"/>
      <c r="EF50" s="212"/>
      <c r="EG50" s="212"/>
      <c r="EH50" s="212"/>
      <c r="EI50" s="212"/>
      <c r="EJ50" s="212"/>
      <c r="EK50" s="212"/>
      <c r="EL50" s="212"/>
      <c r="EM50" s="212"/>
      <c r="EN50" s="212"/>
      <c r="EO50" s="212"/>
      <c r="EP50" s="212"/>
      <c r="EQ50" s="212"/>
      <c r="ER50" s="212"/>
      <c r="ES50" s="212"/>
      <c r="ET50" s="212"/>
      <c r="EU50" s="212"/>
    </row>
    <row r="51" spans="1:151" x14ac:dyDescent="0.2">
      <c r="E51" s="251"/>
      <c r="J51" s="44" t="s">
        <v>331</v>
      </c>
      <c r="K51" s="224"/>
      <c r="L51" s="224"/>
      <c r="M51" s="34"/>
      <c r="R51" s="27"/>
      <c r="T51" s="27"/>
      <c r="BC51" s="59"/>
      <c r="BP51" s="118"/>
      <c r="CC51" s="121"/>
      <c r="CF51" s="27"/>
      <c r="CG51" s="27"/>
      <c r="CH51" s="27"/>
      <c r="CI51" s="27"/>
      <c r="CJ51" s="27"/>
      <c r="CK51" s="27"/>
      <c r="CL51" s="27"/>
      <c r="CM51" s="27"/>
      <c r="CN51" s="27"/>
      <c r="CO51" s="27"/>
      <c r="CP51" s="27"/>
      <c r="CQ51" s="27"/>
      <c r="CR51" s="27"/>
      <c r="CS51" s="27"/>
      <c r="CT51" s="27"/>
      <c r="CU51" s="27"/>
      <c r="CV51" s="27"/>
      <c r="CW51" s="27"/>
      <c r="CX51" s="121"/>
      <c r="DA51" s="27"/>
      <c r="DB51" s="27"/>
      <c r="DC51" s="27"/>
      <c r="DD51" s="27"/>
      <c r="DE51" s="27"/>
      <c r="DF51" s="27"/>
      <c r="DG51" s="27"/>
      <c r="DH51" s="27"/>
      <c r="DI51" s="27"/>
      <c r="DJ51" s="27"/>
      <c r="DK51" s="27"/>
      <c r="DL51" s="27"/>
      <c r="DM51" s="27"/>
      <c r="DN51" s="27"/>
      <c r="DO51" s="27"/>
      <c r="DP51" s="27"/>
      <c r="DQ51" s="27"/>
      <c r="DR51" s="27"/>
      <c r="DS51" s="121"/>
      <c r="DY51" s="212"/>
      <c r="DZ51" s="212"/>
      <c r="EA51" s="212"/>
      <c r="EB51" s="212"/>
      <c r="EC51" s="212"/>
      <c r="ED51" s="212"/>
      <c r="EE51" s="212"/>
      <c r="EF51" s="212"/>
      <c r="EG51" s="212"/>
      <c r="EH51" s="212"/>
      <c r="EI51" s="212"/>
      <c r="EJ51" s="212"/>
      <c r="EK51" s="212"/>
      <c r="EL51" s="212"/>
      <c r="EM51" s="212"/>
      <c r="EN51" s="212"/>
      <c r="EO51" s="212"/>
      <c r="EP51" s="212"/>
      <c r="EQ51" s="212"/>
      <c r="ER51" s="212"/>
      <c r="ES51" s="212"/>
      <c r="ET51" s="212"/>
      <c r="EU51" s="212"/>
    </row>
    <row r="52" spans="1:151" x14ac:dyDescent="0.2">
      <c r="J52" t="s">
        <v>335</v>
      </c>
      <c r="K52" s="34"/>
      <c r="L52" s="34"/>
      <c r="M52" s="34"/>
      <c r="BC52" s="59"/>
      <c r="BD52" s="35"/>
      <c r="BE52" s="37"/>
      <c r="BF52" s="35"/>
      <c r="BG52" s="35"/>
      <c r="BH52" s="35"/>
      <c r="BI52" s="35"/>
      <c r="BP52" s="119"/>
      <c r="CC52" s="121"/>
      <c r="CF52" s="27"/>
      <c r="CG52" s="27"/>
      <c r="CH52" s="27"/>
      <c r="CI52" s="27"/>
      <c r="CJ52" s="27"/>
      <c r="CK52" s="27"/>
      <c r="CL52" s="27"/>
      <c r="CM52" s="27"/>
      <c r="CN52" s="27"/>
      <c r="CO52" s="27"/>
      <c r="CP52" s="27"/>
      <c r="CQ52" s="27"/>
      <c r="CR52" s="27"/>
      <c r="CS52" s="27"/>
      <c r="CT52" s="27"/>
      <c r="CU52" s="27"/>
      <c r="CV52" s="27"/>
      <c r="CW52" s="27"/>
      <c r="CX52" s="121"/>
      <c r="DA52" s="27"/>
      <c r="DB52" s="27"/>
      <c r="DC52" s="27"/>
      <c r="DD52" s="27"/>
      <c r="DE52" s="27"/>
      <c r="DF52" s="27"/>
      <c r="DG52" s="27"/>
      <c r="DH52" s="27"/>
      <c r="DI52" s="27"/>
      <c r="DJ52" s="27"/>
      <c r="DK52" s="27"/>
      <c r="DL52" s="27"/>
      <c r="DM52" s="27"/>
      <c r="DN52" s="27"/>
      <c r="DO52" s="27"/>
      <c r="DP52" s="27"/>
      <c r="DQ52" s="27"/>
      <c r="DR52" s="27"/>
      <c r="DS52" s="121"/>
      <c r="DY52" s="212"/>
      <c r="DZ52" s="212"/>
      <c r="EA52" s="212"/>
      <c r="EB52" s="212"/>
      <c r="EC52" s="212"/>
      <c r="ED52" s="212"/>
      <c r="EE52" s="212"/>
      <c r="EF52" s="212"/>
      <c r="EG52" s="212"/>
      <c r="EH52" s="212"/>
      <c r="EI52" s="212"/>
      <c r="EJ52" s="212"/>
      <c r="EK52" s="212"/>
      <c r="EL52" s="212"/>
      <c r="EM52" s="212"/>
      <c r="EN52" s="212"/>
      <c r="EO52" s="212"/>
      <c r="EP52" s="212"/>
      <c r="EQ52" s="212"/>
      <c r="ER52" s="212"/>
      <c r="ES52" s="212"/>
      <c r="ET52" s="212"/>
      <c r="EU52" s="212"/>
    </row>
    <row r="53" spans="1:151" x14ac:dyDescent="0.2">
      <c r="K53" s="34"/>
      <c r="L53" s="34"/>
      <c r="M53" s="34"/>
      <c r="AK53" t="s">
        <v>93</v>
      </c>
      <c r="BC53" s="18"/>
      <c r="BD53" s="7" t="s">
        <v>84</v>
      </c>
      <c r="BE53" s="67"/>
      <c r="BF53" s="7"/>
      <c r="BG53" s="7"/>
      <c r="BH53" s="7"/>
      <c r="BI53" s="7"/>
      <c r="BJ53" s="1"/>
      <c r="BK53" s="1"/>
      <c r="BL53" s="1"/>
      <c r="BM53" s="1"/>
      <c r="BN53" s="1"/>
      <c r="BO53" s="1"/>
      <c r="BP53" s="117"/>
      <c r="CC53" s="121"/>
      <c r="CF53" s="27"/>
      <c r="CG53" s="27"/>
      <c r="CH53" s="27"/>
      <c r="CI53" s="27"/>
      <c r="CJ53" s="27"/>
      <c r="CK53" s="27"/>
      <c r="CL53" s="27"/>
      <c r="CM53" s="27"/>
      <c r="CN53" s="27"/>
      <c r="CO53" s="27"/>
      <c r="CP53" s="27"/>
      <c r="CQ53" s="27"/>
      <c r="CR53" s="27"/>
      <c r="CS53" s="27"/>
      <c r="CT53" s="27"/>
      <c r="CU53" s="27"/>
      <c r="CV53" s="27"/>
      <c r="CW53" s="27"/>
      <c r="CX53" s="121"/>
      <c r="DA53" s="27"/>
      <c r="DB53" s="27"/>
      <c r="DC53" s="27"/>
      <c r="DD53" s="27"/>
      <c r="DE53" s="27"/>
      <c r="DF53" s="27"/>
      <c r="DG53" s="27"/>
      <c r="DH53" s="27"/>
      <c r="DI53" s="27"/>
      <c r="DJ53" s="27"/>
      <c r="DK53" s="27"/>
      <c r="DL53" s="27"/>
      <c r="DM53" s="27"/>
      <c r="DN53" s="27"/>
      <c r="DO53" s="27"/>
      <c r="DP53" s="27"/>
      <c r="DQ53" s="27"/>
      <c r="DR53" s="27"/>
      <c r="DS53" s="121"/>
      <c r="DY53" s="212"/>
      <c r="DZ53" s="212"/>
      <c r="EA53" s="212"/>
      <c r="EB53" s="212"/>
      <c r="EC53" s="212"/>
      <c r="ED53" s="212"/>
      <c r="EE53" s="212"/>
      <c r="EF53" s="212"/>
      <c r="EG53" s="212"/>
      <c r="EH53" s="212"/>
      <c r="EI53" s="212"/>
      <c r="EJ53" s="212"/>
      <c r="EK53" s="212"/>
      <c r="EL53" s="212"/>
      <c r="EM53" s="212"/>
      <c r="EN53" s="212"/>
      <c r="EO53" s="212"/>
      <c r="EP53" s="212"/>
      <c r="EQ53" s="212"/>
      <c r="ER53" s="212"/>
      <c r="ES53" s="212"/>
      <c r="ET53" s="212"/>
      <c r="EU53" s="212"/>
    </row>
    <row r="54" spans="1:151" x14ac:dyDescent="0.2">
      <c r="K54" s="34"/>
      <c r="L54" s="34"/>
      <c r="M54" s="34"/>
      <c r="BC54" s="18"/>
      <c r="BD54" s="9" t="s">
        <v>77</v>
      </c>
      <c r="BE54" s="9" t="s">
        <v>78</v>
      </c>
      <c r="BF54" s="9" t="s">
        <v>79</v>
      </c>
      <c r="BG54" s="9"/>
      <c r="BH54" s="9"/>
      <c r="BI54" s="9"/>
      <c r="BP54" s="117"/>
      <c r="CC54" s="121"/>
      <c r="CF54" s="27"/>
      <c r="CG54" s="27"/>
      <c r="CH54" s="27"/>
      <c r="CI54" s="27"/>
      <c r="CJ54" s="27"/>
      <c r="CK54" s="27"/>
      <c r="CL54" s="27"/>
      <c r="CM54" s="27"/>
      <c r="CN54" s="27"/>
      <c r="CO54" s="27"/>
      <c r="CP54" s="27"/>
      <c r="CQ54" s="27"/>
      <c r="CR54" s="27"/>
      <c r="CS54" s="27"/>
      <c r="CT54" s="27"/>
      <c r="CU54" s="27"/>
      <c r="CV54" s="27"/>
      <c r="CW54" s="27"/>
      <c r="CX54" s="121"/>
      <c r="DA54" s="27"/>
      <c r="DB54" s="27"/>
      <c r="DC54" s="27"/>
      <c r="DD54" s="27"/>
      <c r="DE54" s="27"/>
      <c r="DF54" s="27"/>
      <c r="DG54" s="27"/>
      <c r="DH54" s="27"/>
      <c r="DI54" s="27"/>
      <c r="DJ54" s="27"/>
      <c r="DK54" s="27"/>
      <c r="DL54" s="27"/>
      <c r="DM54" s="27"/>
      <c r="DN54" s="27"/>
      <c r="DO54" s="27"/>
      <c r="DP54" s="27"/>
      <c r="DQ54" s="27"/>
      <c r="DR54" s="27"/>
      <c r="DS54" s="121"/>
      <c r="DY54" s="212"/>
      <c r="DZ54" s="212"/>
      <c r="EA54" s="212"/>
      <c r="EB54" s="212"/>
      <c r="EC54" s="212"/>
      <c r="ED54" s="212"/>
      <c r="EE54" s="212"/>
      <c r="EF54" s="212"/>
      <c r="EG54" s="212"/>
      <c r="EH54" s="212"/>
      <c r="EI54" s="212"/>
      <c r="EJ54" s="212"/>
      <c r="EK54" s="212"/>
      <c r="EL54" s="212"/>
      <c r="EM54" s="212"/>
      <c r="EN54" s="212"/>
      <c r="EO54" s="212"/>
      <c r="EP54" s="212"/>
      <c r="EQ54" s="212"/>
      <c r="ER54" s="212"/>
      <c r="ES54" s="212"/>
      <c r="ET54" s="212"/>
      <c r="EU54" s="212"/>
    </row>
    <row r="55" spans="1:151" x14ac:dyDescent="0.2">
      <c r="K55" s="34"/>
      <c r="L55" s="34"/>
      <c r="M55" s="34"/>
      <c r="BC55" s="18"/>
      <c r="BD55" s="9"/>
      <c r="BE55" s="9"/>
      <c r="BF55" s="9"/>
      <c r="BG55" s="9"/>
      <c r="BH55" s="9"/>
      <c r="BI55" s="9"/>
      <c r="BP55" s="117"/>
      <c r="CC55" s="121"/>
      <c r="CF55" s="27"/>
      <c r="CG55" s="27"/>
      <c r="CH55" s="27"/>
      <c r="CI55" s="27"/>
      <c r="CJ55" s="27"/>
      <c r="CK55" s="27"/>
      <c r="CL55" s="27"/>
      <c r="CM55" s="27"/>
      <c r="CN55" s="27"/>
      <c r="CO55" s="27"/>
      <c r="CP55" s="27"/>
      <c r="CQ55" s="27"/>
      <c r="CR55" s="27"/>
      <c r="CS55" s="27"/>
      <c r="CT55" s="27"/>
      <c r="CU55" s="27"/>
      <c r="CV55" s="27"/>
      <c r="CW55" s="27"/>
      <c r="CX55" s="121"/>
      <c r="DA55" s="27"/>
      <c r="DB55" s="27"/>
      <c r="DC55" s="27"/>
      <c r="DD55" s="27"/>
      <c r="DE55" s="27"/>
      <c r="DF55" s="27"/>
      <c r="DG55" s="27"/>
      <c r="DH55" s="27"/>
      <c r="DI55" s="27"/>
      <c r="DJ55" s="27"/>
      <c r="DK55" s="27"/>
      <c r="DL55" s="27"/>
      <c r="DM55" s="27"/>
      <c r="DN55" s="27"/>
      <c r="DO55" s="27"/>
      <c r="DP55" s="27"/>
      <c r="DQ55" s="27"/>
      <c r="DR55" s="27"/>
      <c r="DS55" s="121"/>
      <c r="DY55" s="212"/>
      <c r="DZ55" s="212"/>
      <c r="EA55" s="212"/>
      <c r="EB55" s="212"/>
      <c r="EC55" s="212"/>
      <c r="ED55" s="212"/>
      <c r="EE55" s="212"/>
      <c r="EF55" s="212"/>
      <c r="EG55" s="212"/>
      <c r="EH55" s="212"/>
      <c r="EI55" s="212"/>
      <c r="EJ55" s="212"/>
      <c r="EK55" s="212"/>
      <c r="EL55" s="212"/>
      <c r="EM55" s="212"/>
      <c r="EN55" s="212"/>
      <c r="EO55" s="212"/>
      <c r="EP55" s="212"/>
      <c r="EQ55" s="212"/>
      <c r="ER55" s="212"/>
      <c r="ES55" s="212"/>
      <c r="ET55" s="212"/>
      <c r="EU55" s="212"/>
    </row>
    <row r="56" spans="1:151" x14ac:dyDescent="0.2">
      <c r="K56" s="34"/>
      <c r="L56" s="34"/>
      <c r="M56" s="34"/>
      <c r="BC56" s="19"/>
      <c r="BD56" s="33">
        <v>0.88480000000000003</v>
      </c>
      <c r="BE56" s="33">
        <v>0.94579999999999997</v>
      </c>
      <c r="BF56" s="33">
        <v>0.97699999999999998</v>
      </c>
      <c r="BG56" s="33"/>
      <c r="BH56" s="33"/>
      <c r="BI56" s="33"/>
      <c r="BP56" s="29"/>
      <c r="CC56" s="121"/>
      <c r="CF56" s="27"/>
      <c r="CG56" s="27"/>
      <c r="CH56" s="27"/>
      <c r="CI56" s="27"/>
      <c r="CJ56" s="27"/>
      <c r="CK56" s="27"/>
      <c r="CL56" s="27"/>
      <c r="CM56" s="27"/>
      <c r="CN56" s="27"/>
      <c r="CO56" s="27"/>
      <c r="CP56" s="27"/>
      <c r="CQ56" s="27"/>
      <c r="CR56" s="27"/>
      <c r="CS56" s="27"/>
      <c r="CT56" s="27"/>
      <c r="CU56" s="27"/>
      <c r="CV56" s="27"/>
      <c r="CW56" s="27"/>
      <c r="CX56" s="121"/>
      <c r="DA56" s="27"/>
      <c r="DB56" s="27"/>
      <c r="DC56" s="27"/>
      <c r="DD56" s="27"/>
      <c r="DE56" s="27"/>
      <c r="DF56" s="27"/>
      <c r="DG56" s="27"/>
      <c r="DH56" s="27"/>
      <c r="DI56" s="27"/>
      <c r="DJ56" s="27"/>
      <c r="DK56" s="27"/>
      <c r="DL56" s="27"/>
      <c r="DM56" s="27"/>
      <c r="DN56" s="27"/>
      <c r="DO56" s="27"/>
      <c r="DP56" s="27"/>
      <c r="DQ56" s="27"/>
      <c r="DR56" s="27"/>
      <c r="DS56" s="121"/>
      <c r="DY56" s="212"/>
      <c r="DZ56" s="212"/>
      <c r="EA56" s="212"/>
      <c r="EB56" s="212"/>
      <c r="EC56" s="212"/>
      <c r="ED56" s="212"/>
      <c r="EE56" s="212"/>
      <c r="EF56" s="212"/>
      <c r="EG56" s="212"/>
      <c r="EH56" s="212"/>
      <c r="EI56" s="212"/>
      <c r="EJ56" s="212"/>
      <c r="EK56" s="212"/>
      <c r="EL56" s="212"/>
      <c r="EM56" s="212"/>
      <c r="EN56" s="212"/>
      <c r="EO56" s="212"/>
      <c r="EP56" s="212"/>
      <c r="EQ56" s="212"/>
      <c r="ER56" s="212"/>
      <c r="ES56" s="212"/>
      <c r="ET56" s="212"/>
      <c r="EU56" s="212"/>
    </row>
    <row r="57" spans="1:151" x14ac:dyDescent="0.2">
      <c r="K57" s="34"/>
      <c r="L57" s="34"/>
      <c r="M57" s="34"/>
      <c r="BD57" s="36"/>
      <c r="BE57" s="36"/>
      <c r="BF57" s="36"/>
      <c r="BG57" s="36"/>
      <c r="BH57" s="36"/>
      <c r="BI57" s="36"/>
      <c r="BJ57" s="36"/>
      <c r="BK57" s="36"/>
      <c r="BL57" s="36"/>
      <c r="BM57" s="36"/>
      <c r="BN57" s="36"/>
      <c r="BO57" s="36"/>
      <c r="BP57" s="36"/>
      <c r="CC57" s="121"/>
      <c r="CF57" s="27"/>
      <c r="CG57" s="27"/>
      <c r="CH57" s="27"/>
      <c r="CI57" s="27"/>
      <c r="CJ57" s="27"/>
      <c r="CK57" s="27"/>
      <c r="CL57" s="27"/>
      <c r="CM57" s="27"/>
      <c r="CN57" s="27"/>
      <c r="CO57" s="27"/>
      <c r="CP57" s="27"/>
      <c r="CQ57" s="27"/>
      <c r="CR57" s="27"/>
      <c r="CS57" s="27"/>
      <c r="CT57" s="27"/>
      <c r="CU57" s="27"/>
      <c r="CV57" s="27"/>
      <c r="CW57" s="27"/>
      <c r="CX57" s="121"/>
      <c r="DA57" s="27"/>
      <c r="DB57" s="27"/>
      <c r="DC57" s="27"/>
      <c r="DD57" s="27"/>
      <c r="DE57" s="27"/>
      <c r="DF57" s="27"/>
      <c r="DG57" s="27"/>
      <c r="DH57" s="27"/>
      <c r="DI57" s="27"/>
      <c r="DJ57" s="27"/>
      <c r="DK57" s="27"/>
      <c r="DL57" s="27"/>
      <c r="DM57" s="27"/>
      <c r="DN57" s="27"/>
      <c r="DO57" s="27"/>
      <c r="DP57" s="27"/>
      <c r="DQ57" s="27"/>
      <c r="DR57" s="27"/>
      <c r="DS57" s="121"/>
      <c r="DY57" s="212"/>
      <c r="DZ57" s="212"/>
      <c r="EA57" s="212"/>
      <c r="EB57" s="212"/>
      <c r="EC57" s="212"/>
      <c r="ED57" s="212"/>
      <c r="EE57" s="212"/>
      <c r="EF57" s="212"/>
      <c r="EG57" s="212"/>
      <c r="EH57" s="212"/>
      <c r="EI57" s="212"/>
      <c r="EJ57" s="212"/>
      <c r="EK57" s="212"/>
      <c r="EL57" s="212"/>
      <c r="EM57" s="212"/>
      <c r="EN57" s="212"/>
      <c r="EO57" s="212"/>
      <c r="EP57" s="212"/>
      <c r="EQ57" s="212"/>
      <c r="ER57" s="212"/>
      <c r="ES57" s="212"/>
      <c r="ET57" s="212"/>
      <c r="EU57" s="212"/>
    </row>
    <row r="58" spans="1:151" x14ac:dyDescent="0.2">
      <c r="K58" s="34"/>
      <c r="L58" s="34"/>
      <c r="M58" s="34"/>
      <c r="CC58" s="121"/>
      <c r="CF58" s="27"/>
      <c r="CG58" s="27"/>
      <c r="CH58" s="27"/>
      <c r="CI58" s="27"/>
      <c r="CJ58" s="27"/>
      <c r="CK58" s="27"/>
      <c r="CL58" s="27"/>
      <c r="CM58" s="27"/>
      <c r="CN58" s="27"/>
      <c r="CO58" s="27"/>
      <c r="CP58" s="27"/>
      <c r="CQ58" s="27"/>
      <c r="CR58" s="27"/>
      <c r="CS58" s="27"/>
      <c r="CT58" s="27"/>
      <c r="CU58" s="27"/>
      <c r="CV58" s="27"/>
      <c r="CW58" s="27"/>
      <c r="CX58" s="121"/>
      <c r="DA58" s="27"/>
      <c r="DB58" s="27"/>
      <c r="DC58" s="27"/>
      <c r="DD58" s="27"/>
      <c r="DE58" s="27"/>
      <c r="DF58" s="27"/>
      <c r="DG58" s="27"/>
      <c r="DH58" s="27"/>
      <c r="DI58" s="27"/>
      <c r="DJ58" s="27"/>
      <c r="DK58" s="27"/>
      <c r="DL58" s="27"/>
      <c r="DM58" s="27"/>
      <c r="DN58" s="27"/>
      <c r="DO58" s="27"/>
      <c r="DP58" s="27"/>
      <c r="DQ58" s="27"/>
      <c r="DR58" s="27"/>
      <c r="DS58" s="121"/>
    </row>
    <row r="59" spans="1:151" x14ac:dyDescent="0.2">
      <c r="K59" s="34"/>
      <c r="L59" s="34"/>
      <c r="M59" s="34"/>
      <c r="CC59" s="121"/>
      <c r="CF59" s="27"/>
      <c r="CG59" s="27"/>
      <c r="CH59" s="27"/>
      <c r="CI59" s="27"/>
      <c r="CJ59" s="27"/>
      <c r="CK59" s="27"/>
      <c r="CL59" s="27"/>
      <c r="CM59" s="27"/>
      <c r="CN59" s="27"/>
      <c r="CO59" s="27"/>
      <c r="CP59" s="27"/>
      <c r="CQ59" s="27"/>
      <c r="CR59" s="27"/>
      <c r="CS59" s="27"/>
      <c r="CT59" s="27"/>
      <c r="CU59" s="27"/>
      <c r="CV59" s="27"/>
      <c r="CW59" s="27"/>
      <c r="CX59" s="121"/>
      <c r="DA59" s="27"/>
      <c r="DB59" s="27"/>
      <c r="DC59" s="27"/>
      <c r="DD59" s="27"/>
      <c r="DE59" s="27"/>
      <c r="DF59" s="27"/>
      <c r="DG59" s="27"/>
      <c r="DH59" s="27"/>
      <c r="DI59" s="27"/>
      <c r="DJ59" s="27"/>
      <c r="DK59" s="27"/>
      <c r="DL59" s="27"/>
      <c r="DM59" s="27"/>
      <c r="DN59" s="27"/>
      <c r="DO59" s="27"/>
      <c r="DP59" s="27"/>
      <c r="DQ59" s="27"/>
      <c r="DR59" s="27"/>
      <c r="DS59" s="121"/>
    </row>
    <row r="60" spans="1:151" x14ac:dyDescent="0.2">
      <c r="K60" s="34"/>
      <c r="L60" s="34"/>
      <c r="M60" s="34"/>
      <c r="CC60" s="121"/>
      <c r="CF60" s="27"/>
      <c r="CG60" s="27"/>
      <c r="CH60" s="27"/>
      <c r="CI60" s="27"/>
      <c r="CJ60" s="27"/>
      <c r="CK60" s="27"/>
      <c r="CL60" s="27"/>
      <c r="CM60" s="27"/>
      <c r="CN60" s="27"/>
      <c r="CO60" s="27"/>
      <c r="CP60" s="27"/>
      <c r="CQ60" s="27"/>
      <c r="CR60" s="27"/>
      <c r="CS60" s="27"/>
      <c r="CT60" s="27"/>
      <c r="CU60" s="27"/>
      <c r="CV60" s="27"/>
      <c r="CW60" s="27"/>
      <c r="CX60" s="121"/>
      <c r="DA60" s="27"/>
      <c r="DB60" s="27"/>
      <c r="DC60" s="27"/>
      <c r="DD60" s="27"/>
      <c r="DE60" s="27"/>
      <c r="DF60" s="27"/>
      <c r="DG60" s="27"/>
      <c r="DH60" s="27"/>
      <c r="DI60" s="27"/>
      <c r="DJ60" s="27"/>
      <c r="DK60" s="27"/>
      <c r="DL60" s="27"/>
      <c r="DM60" s="27"/>
      <c r="DN60" s="27"/>
      <c r="DO60" s="27"/>
      <c r="DP60" s="27"/>
      <c r="DQ60" s="27"/>
      <c r="DR60" s="27"/>
      <c r="DS60" s="121"/>
    </row>
    <row r="61" spans="1:151" x14ac:dyDescent="0.2">
      <c r="K61" s="34"/>
      <c r="L61" s="34"/>
      <c r="M61" s="34"/>
      <c r="CC61" s="121"/>
      <c r="CF61" s="27"/>
      <c r="CG61" s="27"/>
      <c r="CH61" s="27"/>
      <c r="CI61" s="27"/>
      <c r="CJ61" s="27"/>
      <c r="CK61" s="27"/>
      <c r="CL61" s="27"/>
      <c r="CM61" s="27"/>
      <c r="CN61" s="27"/>
      <c r="CO61" s="27"/>
      <c r="CP61" s="27"/>
      <c r="CQ61" s="27"/>
      <c r="CR61" s="27"/>
      <c r="CS61" s="27"/>
      <c r="CT61" s="27"/>
      <c r="CU61" s="27"/>
      <c r="CV61" s="27"/>
      <c r="CW61" s="27"/>
      <c r="CX61" s="121"/>
      <c r="DA61" s="27"/>
      <c r="DB61" s="27"/>
      <c r="DC61" s="27"/>
      <c r="DD61" s="27"/>
      <c r="DE61" s="27"/>
      <c r="DF61" s="27"/>
      <c r="DG61" s="27"/>
      <c r="DH61" s="27"/>
      <c r="DI61" s="27"/>
      <c r="DJ61" s="27"/>
      <c r="DK61" s="27"/>
      <c r="DL61" s="27"/>
      <c r="DM61" s="27"/>
      <c r="DN61" s="27"/>
      <c r="DO61" s="27"/>
      <c r="DP61" s="27"/>
      <c r="DQ61" s="27"/>
      <c r="DR61" s="27"/>
      <c r="DS61" s="121"/>
    </row>
    <row r="62" spans="1:151" x14ac:dyDescent="0.2">
      <c r="K62" s="34"/>
      <c r="L62" s="34"/>
      <c r="M62" s="34"/>
      <c r="AL62" t="s">
        <v>93</v>
      </c>
      <c r="CC62" s="121"/>
      <c r="CF62" s="27"/>
      <c r="CG62" s="27"/>
      <c r="CH62" s="27"/>
      <c r="CI62" s="27"/>
      <c r="CJ62" s="27"/>
      <c r="CK62" s="27"/>
      <c r="CL62" s="27"/>
      <c r="CM62" s="27"/>
      <c r="CN62" s="27"/>
      <c r="CO62" s="27"/>
      <c r="CP62" s="27"/>
      <c r="CQ62" s="27"/>
      <c r="CR62" s="27"/>
      <c r="CS62" s="27"/>
      <c r="CT62" s="27"/>
      <c r="CU62" s="27"/>
      <c r="CV62" s="27"/>
      <c r="CW62" s="27"/>
      <c r="CX62" s="121"/>
      <c r="DA62" s="27"/>
      <c r="DB62" s="27"/>
      <c r="DC62" s="27"/>
      <c r="DD62" s="27"/>
      <c r="DE62" s="27"/>
      <c r="DF62" s="27"/>
      <c r="DG62" s="27"/>
      <c r="DH62" s="27"/>
      <c r="DI62" s="27"/>
      <c r="DJ62" s="27"/>
      <c r="DK62" s="27"/>
      <c r="DL62" s="27"/>
      <c r="DM62" s="27"/>
      <c r="DN62" s="27"/>
      <c r="DO62" s="27"/>
      <c r="DP62" s="27"/>
      <c r="DQ62" s="27"/>
      <c r="DR62" s="27"/>
      <c r="DS62" s="121"/>
    </row>
    <row r="63" spans="1:151" x14ac:dyDescent="0.2">
      <c r="K63" s="34"/>
      <c r="L63" s="34"/>
      <c r="M63" s="34"/>
    </row>
    <row r="64" spans="1:151" x14ac:dyDescent="0.2">
      <c r="K64" s="34"/>
      <c r="L64" s="34"/>
      <c r="M64" s="34"/>
    </row>
    <row r="65" spans="11:13" x14ac:dyDescent="0.2">
      <c r="K65" s="34"/>
      <c r="L65" s="34"/>
      <c r="M65" s="34"/>
    </row>
    <row r="66" spans="11:13" x14ac:dyDescent="0.2">
      <c r="K66" s="34"/>
      <c r="L66" s="34"/>
      <c r="M66" s="34"/>
    </row>
    <row r="67" spans="11:13" x14ac:dyDescent="0.2">
      <c r="K67" s="34"/>
      <c r="L67" s="34"/>
      <c r="M67" s="34"/>
    </row>
    <row r="68" spans="11:13" x14ac:dyDescent="0.2">
      <c r="K68" s="34"/>
      <c r="L68" s="34"/>
      <c r="M68" s="34"/>
    </row>
    <row r="69" spans="11:13" x14ac:dyDescent="0.2">
      <c r="K69" s="34"/>
      <c r="L69" s="34"/>
      <c r="M69" s="34"/>
    </row>
    <row r="70" spans="11:13" x14ac:dyDescent="0.2">
      <c r="K70" s="34"/>
      <c r="L70" s="34"/>
      <c r="M70" s="34"/>
    </row>
    <row r="71" spans="11:13" x14ac:dyDescent="0.2">
      <c r="K71" s="34"/>
      <c r="L71" s="34"/>
      <c r="M71" s="34"/>
    </row>
    <row r="72" spans="11:13" x14ac:dyDescent="0.2">
      <c r="K72" s="34"/>
      <c r="L72" s="34"/>
      <c r="M72" s="34"/>
    </row>
    <row r="73" spans="11:13" x14ac:dyDescent="0.2">
      <c r="K73" s="34"/>
      <c r="L73" s="34"/>
      <c r="M73" s="34"/>
    </row>
    <row r="74" spans="11:13" x14ac:dyDescent="0.2">
      <c r="K74" s="34"/>
      <c r="L74" s="34"/>
      <c r="M74" s="34"/>
    </row>
    <row r="75" spans="11:13" x14ac:dyDescent="0.2">
      <c r="K75" s="34"/>
      <c r="L75" s="34"/>
      <c r="M75" s="34"/>
    </row>
    <row r="76" spans="11:13" x14ac:dyDescent="0.2">
      <c r="K76" s="34"/>
      <c r="L76" s="34"/>
      <c r="M76" s="34"/>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0FA992-EFB1-4D16-9066-6CA1E5EE92DC}">
  <dimension ref="A1:JB68"/>
  <sheetViews>
    <sheetView zoomScale="61" zoomScaleNormal="30" workbookViewId="0">
      <selection activeCell="HV34" sqref="HV34"/>
    </sheetView>
  </sheetViews>
  <sheetFormatPr baseColWidth="10" defaultColWidth="8.83203125" defaultRowHeight="16" x14ac:dyDescent="0.2"/>
  <cols>
    <col min="10" max="10" width="28.83203125" customWidth="1"/>
    <col min="11" max="11" width="35.33203125" customWidth="1"/>
    <col min="12" max="12" width="31.83203125" customWidth="1"/>
    <col min="13" max="13" width="34.83203125" customWidth="1"/>
    <col min="14" max="14" width="29.1640625" style="95" customWidth="1"/>
    <col min="15" max="15" width="24.83203125" customWidth="1"/>
    <col min="16" max="16" width="31.83203125" customWidth="1"/>
    <col min="17" max="17" width="8.83203125" bestFit="1" customWidth="1"/>
    <col min="18" max="18" width="10.1640625" bestFit="1" customWidth="1"/>
    <col min="19" max="20" width="12.5" bestFit="1" customWidth="1"/>
    <col min="21" max="21" width="14.1640625" bestFit="1" customWidth="1"/>
    <col min="22" max="22" width="20.6640625" bestFit="1" customWidth="1"/>
    <col min="23" max="23" width="21.1640625" bestFit="1" customWidth="1"/>
    <col min="25" max="27" width="9" bestFit="1" customWidth="1"/>
    <col min="28" max="28" width="10.1640625" bestFit="1" customWidth="1"/>
    <col min="29" max="29" width="11" bestFit="1" customWidth="1"/>
    <col min="30" max="30" width="14.33203125" bestFit="1" customWidth="1"/>
    <col min="31" max="31" width="16.6640625" bestFit="1" customWidth="1"/>
    <col min="32" max="32" width="16" bestFit="1" customWidth="1"/>
    <col min="33" max="33" width="9.83203125" bestFit="1" customWidth="1"/>
    <col min="34" max="34" width="11.83203125" bestFit="1" customWidth="1"/>
    <col min="35" max="35" width="12.83203125" bestFit="1" customWidth="1"/>
    <col min="36" max="36" width="15" bestFit="1" customWidth="1"/>
    <col min="37" max="37" width="20.33203125" bestFit="1" customWidth="1"/>
    <col min="38" max="38" width="18.1640625" bestFit="1" customWidth="1"/>
    <col min="39" max="39" width="17.83203125" customWidth="1"/>
    <col min="40" max="40" width="17.6640625" customWidth="1"/>
    <col min="41" max="41" width="9.83203125" bestFit="1" customWidth="1"/>
    <col min="42" max="42" width="13.6640625" customWidth="1"/>
    <col min="43" max="44" width="11.83203125" bestFit="1" customWidth="1"/>
    <col min="45" max="45" width="12.83203125" bestFit="1" customWidth="1"/>
    <col min="46" max="46" width="16.6640625" bestFit="1" customWidth="1"/>
    <col min="47" max="47" width="17.1640625" bestFit="1" customWidth="1"/>
    <col min="48" max="48" width="16" bestFit="1" customWidth="1"/>
    <col min="49" max="50" width="19.6640625" bestFit="1" customWidth="1"/>
    <col min="52" max="54" width="8.83203125" bestFit="1" customWidth="1"/>
    <col min="55" max="56" width="19.1640625" customWidth="1"/>
    <col min="57" max="57" width="25.6640625" customWidth="1"/>
    <col min="58" max="58" width="11.83203125" bestFit="1" customWidth="1"/>
    <col min="59" max="59" width="11.83203125" customWidth="1"/>
    <col min="60" max="60" width="11.83203125" bestFit="1" customWidth="1"/>
    <col min="61" max="61" width="8.83203125" bestFit="1" customWidth="1"/>
    <col min="62" max="62" width="9.33203125" bestFit="1" customWidth="1"/>
    <col min="63" max="63" width="21.1640625" customWidth="1"/>
    <col min="64" max="64" width="31.33203125" customWidth="1"/>
    <col min="65" max="65" width="10.33203125" bestFit="1" customWidth="1"/>
    <col min="66" max="66" width="10.33203125" customWidth="1"/>
    <col min="67" max="67" width="12.83203125" customWidth="1"/>
    <col min="68" max="68" width="18.6640625" bestFit="1" customWidth="1"/>
    <col min="69" max="69" width="18.6640625" customWidth="1"/>
    <col min="70" max="70" width="19.6640625" bestFit="1" customWidth="1"/>
    <col min="71" max="71" width="14.6640625" customWidth="1"/>
    <col min="72" max="72" width="12.33203125" bestFit="1" customWidth="1"/>
    <col min="73" max="73" width="18.6640625" bestFit="1" customWidth="1"/>
    <col min="74" max="74" width="19.6640625" bestFit="1" customWidth="1"/>
    <col min="75" max="75" width="10.33203125" bestFit="1" customWidth="1"/>
    <col min="76" max="76" width="10.33203125" customWidth="1"/>
    <col min="77" max="77" width="11.33203125" bestFit="1" customWidth="1"/>
    <col min="78" max="78" width="18.6640625" bestFit="1" customWidth="1"/>
    <col min="79" max="79" width="18.6640625" customWidth="1"/>
    <col min="80" max="80" width="19.6640625" bestFit="1" customWidth="1"/>
    <col min="81" max="81" width="10.33203125" bestFit="1" customWidth="1"/>
    <col min="82" max="82" width="12.33203125" bestFit="1" customWidth="1"/>
    <col min="83" max="83" width="18.6640625" bestFit="1" customWidth="1"/>
    <col min="84" max="84" width="20.6640625" bestFit="1" customWidth="1"/>
    <col min="86" max="89" width="8.83203125" bestFit="1" customWidth="1"/>
    <col min="90" max="90" width="14.5" bestFit="1" customWidth="1"/>
    <col min="91" max="91" width="8.83203125" bestFit="1" customWidth="1"/>
    <col min="92" max="92" width="16" bestFit="1" customWidth="1"/>
    <col min="225" max="225" width="23.1640625" bestFit="1" customWidth="1"/>
    <col min="227" max="227" width="11.6640625" style="177" bestFit="1" customWidth="1"/>
    <col min="228" max="228" width="11.1640625" style="177" bestFit="1" customWidth="1"/>
    <col min="229" max="229" width="18" style="177" bestFit="1" customWidth="1"/>
    <col min="230" max="230" width="14.1640625" style="177" bestFit="1" customWidth="1"/>
    <col min="231" max="231" width="12.33203125" style="177" bestFit="1" customWidth="1"/>
    <col min="232" max="232" width="12.83203125" style="177" bestFit="1" customWidth="1"/>
    <col min="233" max="233" width="14.5" style="177" bestFit="1" customWidth="1"/>
    <col min="234" max="235" width="14.1640625" style="177" bestFit="1" customWidth="1"/>
    <col min="236" max="236" width="18" style="177" bestFit="1" customWidth="1"/>
    <col min="237" max="238" width="18.33203125" style="177" bestFit="1" customWidth="1"/>
    <col min="239" max="244" width="10.33203125" style="177" bestFit="1" customWidth="1"/>
    <col min="245" max="245" width="11.1640625" style="177" bestFit="1" customWidth="1"/>
    <col min="246" max="246" width="11.6640625" style="177" bestFit="1" customWidth="1"/>
    <col min="247" max="247" width="17.6640625" style="177" bestFit="1" customWidth="1"/>
    <col min="248" max="250" width="14.1640625" style="177" bestFit="1" customWidth="1"/>
    <col min="251" max="253" width="14.5" style="177" bestFit="1" customWidth="1"/>
    <col min="254" max="254" width="12.1640625" style="177" customWidth="1"/>
    <col min="255" max="255" width="11.1640625" style="177" customWidth="1"/>
    <col min="256" max="256" width="13" style="177" customWidth="1"/>
    <col min="257" max="257" width="15.6640625" style="177" customWidth="1"/>
    <col min="258" max="258" width="13.83203125" style="177" customWidth="1"/>
    <col min="259" max="260" width="11.1640625" style="177" customWidth="1"/>
    <col min="261" max="261" width="12.33203125" style="177" customWidth="1"/>
    <col min="262" max="262" width="12.1640625" style="177" customWidth="1"/>
  </cols>
  <sheetData>
    <row r="1" spans="1:262" ht="34" x14ac:dyDescent="0.4">
      <c r="A1" s="14" t="s">
        <v>46</v>
      </c>
      <c r="B1" s="11"/>
      <c r="C1" s="11"/>
      <c r="D1" s="11"/>
      <c r="E1" s="11"/>
      <c r="F1" s="11"/>
      <c r="G1" s="11" t="s">
        <v>22</v>
      </c>
      <c r="H1" s="31"/>
      <c r="I1" s="32"/>
      <c r="J1" s="12" t="s">
        <v>343</v>
      </c>
      <c r="O1" t="s">
        <v>347</v>
      </c>
      <c r="R1" s="66" t="s">
        <v>179</v>
      </c>
      <c r="S1" s="11"/>
      <c r="T1" s="43" t="s">
        <v>132</v>
      </c>
      <c r="U1" s="11"/>
      <c r="V1" s="11"/>
      <c r="W1" s="11"/>
      <c r="X1" s="11"/>
      <c r="Y1" s="98" t="s">
        <v>181</v>
      </c>
      <c r="Z1" s="99"/>
      <c r="AA1" s="99" t="s">
        <v>189</v>
      </c>
      <c r="AB1" s="99"/>
      <c r="AC1" s="99"/>
      <c r="AD1" s="99"/>
      <c r="AE1" s="127"/>
      <c r="AF1" s="127"/>
      <c r="AG1" s="130"/>
      <c r="AH1" s="130"/>
      <c r="AI1" s="130"/>
      <c r="AJ1" s="127"/>
      <c r="AK1" s="147"/>
      <c r="AL1" s="127"/>
      <c r="AM1" s="99" t="s">
        <v>296</v>
      </c>
      <c r="AN1" s="127"/>
      <c r="AO1" s="127"/>
      <c r="AP1" s="127"/>
      <c r="AQ1" s="127"/>
      <c r="AR1" s="127"/>
      <c r="AS1" s="99" t="s">
        <v>295</v>
      </c>
      <c r="AT1" s="147"/>
      <c r="AU1" s="147"/>
      <c r="AV1" s="150"/>
      <c r="AW1" s="150"/>
      <c r="AX1" s="150"/>
      <c r="AY1" s="11"/>
      <c r="AZ1" s="65" t="s">
        <v>123</v>
      </c>
      <c r="BA1" s="11"/>
      <c r="BB1" s="11"/>
      <c r="BC1" s="133" t="s">
        <v>237</v>
      </c>
      <c r="BD1" s="133"/>
      <c r="BE1" s="136"/>
      <c r="BF1" s="25" t="s">
        <v>238</v>
      </c>
      <c r="BG1" s="25"/>
      <c r="BH1" s="63"/>
      <c r="BI1" s="143" t="s">
        <v>245</v>
      </c>
      <c r="BJ1" s="139"/>
      <c r="BK1" s="43" t="s">
        <v>246</v>
      </c>
      <c r="BL1" s="63"/>
      <c r="BM1" s="133" t="s">
        <v>248</v>
      </c>
      <c r="BN1" s="133"/>
      <c r="BO1" s="136"/>
      <c r="BP1" s="144" t="s">
        <v>249</v>
      </c>
      <c r="BQ1" s="144"/>
      <c r="BR1" s="150"/>
      <c r="BS1" s="151" t="s">
        <v>253</v>
      </c>
      <c r="BT1" s="11"/>
      <c r="BU1" s="151" t="s">
        <v>256</v>
      </c>
      <c r="BV1" s="63"/>
      <c r="BW1" s="133" t="s">
        <v>259</v>
      </c>
      <c r="BX1" s="133"/>
      <c r="BY1" s="136"/>
      <c r="BZ1" s="150"/>
      <c r="CA1" s="150"/>
      <c r="CB1" s="150"/>
      <c r="CC1" s="153" t="s">
        <v>240</v>
      </c>
      <c r="CD1" s="11"/>
      <c r="CE1" s="151" t="s">
        <v>260</v>
      </c>
      <c r="CF1" s="11"/>
      <c r="CG1" s="11"/>
      <c r="CH1" s="61" t="s">
        <v>83</v>
      </c>
      <c r="CI1" s="11"/>
      <c r="CJ1" s="11"/>
      <c r="CK1" s="11"/>
      <c r="CL1" s="11"/>
      <c r="CM1" s="11"/>
      <c r="CN1" s="150"/>
      <c r="CO1" s="11"/>
      <c r="CP1" s="11"/>
      <c r="CQ1" s="11"/>
      <c r="CR1" s="150"/>
      <c r="CS1" s="11"/>
      <c r="CT1" s="150"/>
      <c r="CU1" s="11"/>
      <c r="CV1" s="150"/>
      <c r="CW1" s="11"/>
      <c r="CX1" s="150"/>
      <c r="CY1" s="11"/>
      <c r="CZ1" s="162"/>
      <c r="DA1" s="70"/>
      <c r="DB1" s="162"/>
      <c r="DC1" s="70"/>
      <c r="DD1" s="43" t="s">
        <v>233</v>
      </c>
      <c r="DE1" s="11"/>
      <c r="DF1" s="11"/>
      <c r="DG1" s="11"/>
      <c r="DH1" s="11"/>
      <c r="DI1" s="11"/>
      <c r="DJ1" s="11"/>
      <c r="DK1" s="11"/>
      <c r="DL1" s="11"/>
      <c r="DM1" s="11"/>
      <c r="DN1" s="11"/>
      <c r="DO1" s="11"/>
      <c r="DP1" s="11"/>
      <c r="DQ1" s="11"/>
      <c r="DR1" s="150"/>
      <c r="DS1" s="11"/>
      <c r="DT1" s="11"/>
      <c r="DU1" s="11"/>
      <c r="DV1" s="150"/>
      <c r="DW1" s="150"/>
      <c r="DX1" s="150"/>
      <c r="DY1" s="121"/>
      <c r="DZ1" s="164" t="s">
        <v>279</v>
      </c>
      <c r="EA1" s="11"/>
      <c r="EB1" s="11"/>
      <c r="EC1" s="11"/>
      <c r="ED1" s="139"/>
      <c r="EE1" s="139"/>
      <c r="EF1" s="139"/>
      <c r="EG1" s="139"/>
      <c r="EH1" s="11"/>
      <c r="EI1" s="11"/>
      <c r="EJ1" s="11"/>
      <c r="EK1" s="11"/>
      <c r="EL1" s="11"/>
      <c r="EM1" s="125"/>
      <c r="EN1" s="11"/>
      <c r="EO1" s="11"/>
      <c r="EP1" s="11"/>
      <c r="EQ1" s="11"/>
      <c r="ER1" s="11"/>
      <c r="ES1" s="11"/>
      <c r="ET1" s="11"/>
      <c r="EU1" s="11"/>
      <c r="EV1" s="11"/>
      <c r="EW1" s="11"/>
      <c r="EX1" s="11"/>
      <c r="EY1" s="125"/>
      <c r="EZ1" s="11"/>
      <c r="FA1" s="11"/>
      <c r="FB1" s="11"/>
      <c r="FC1" s="11"/>
      <c r="FD1" s="11"/>
      <c r="FE1" s="11"/>
      <c r="FF1" s="11"/>
      <c r="FG1" s="11"/>
      <c r="FH1" s="11"/>
      <c r="FI1" s="11"/>
      <c r="FJ1" s="11"/>
      <c r="FK1" s="11"/>
      <c r="FL1" s="121"/>
      <c r="FM1" s="43" t="s">
        <v>322</v>
      </c>
      <c r="FN1" s="164"/>
      <c r="FO1" s="77" t="s">
        <v>321</v>
      </c>
      <c r="FP1" s="139"/>
      <c r="FQ1" s="139"/>
      <c r="FR1" s="139"/>
      <c r="FS1" s="139"/>
      <c r="FT1" s="139"/>
      <c r="FU1" s="139"/>
      <c r="FV1" s="139"/>
      <c r="FW1" s="139"/>
      <c r="FX1" s="139"/>
      <c r="FY1" s="139"/>
      <c r="FZ1" s="139"/>
      <c r="GA1" s="175"/>
      <c r="GB1" s="175"/>
      <c r="GC1" s="175"/>
      <c r="GD1" s="175"/>
      <c r="GE1" s="175"/>
      <c r="GF1" s="199"/>
      <c r="GG1" s="77" t="s">
        <v>320</v>
      </c>
      <c r="GH1" s="139"/>
      <c r="GI1" s="139"/>
      <c r="GJ1" s="139"/>
      <c r="GK1" s="139"/>
      <c r="GL1" s="139"/>
      <c r="GM1" s="139"/>
      <c r="GN1" s="139"/>
      <c r="GO1" s="139"/>
      <c r="GP1" s="139"/>
      <c r="GQ1" s="139"/>
      <c r="GR1" s="139"/>
      <c r="GS1" s="175"/>
      <c r="GT1" s="175"/>
      <c r="GU1" s="175"/>
      <c r="GV1" s="175"/>
      <c r="GW1" s="175"/>
      <c r="GX1" s="175"/>
      <c r="GY1" s="121"/>
      <c r="GZ1" s="120" t="s">
        <v>325</v>
      </c>
      <c r="HA1" s="11"/>
      <c r="HB1" s="11"/>
      <c r="HC1" s="51"/>
      <c r="HD1" s="11"/>
      <c r="HE1" s="39"/>
      <c r="HF1" s="39"/>
      <c r="HG1" s="39"/>
      <c r="HH1" s="194"/>
      <c r="HI1" s="120" t="s">
        <v>323</v>
      </c>
      <c r="HJ1" s="11"/>
      <c r="HK1" s="11"/>
      <c r="HL1" s="178"/>
      <c r="HM1" s="150"/>
      <c r="HN1" s="179"/>
      <c r="HO1" s="179"/>
      <c r="HP1" s="179"/>
      <c r="HQ1" s="179"/>
      <c r="HR1" s="121"/>
      <c r="HS1" s="225" t="s">
        <v>326</v>
      </c>
      <c r="HT1" s="175"/>
      <c r="HU1" s="175"/>
      <c r="HV1" s="201"/>
      <c r="HW1" s="175"/>
      <c r="HX1" s="202"/>
      <c r="HY1" s="202"/>
      <c r="HZ1" s="202"/>
      <c r="IA1" s="216"/>
      <c r="IB1" s="225" t="s">
        <v>294</v>
      </c>
      <c r="IC1" s="175"/>
      <c r="ID1" s="175"/>
      <c r="IE1" s="201"/>
      <c r="IF1" s="175"/>
      <c r="IG1" s="202"/>
      <c r="IH1" s="202"/>
      <c r="II1" s="202"/>
      <c r="IJ1" s="216"/>
      <c r="IK1" s="225" t="s">
        <v>327</v>
      </c>
      <c r="IL1" s="175"/>
      <c r="IM1" s="175"/>
      <c r="IN1" s="201"/>
      <c r="IO1" s="175"/>
      <c r="IP1" s="202"/>
      <c r="IQ1" s="202"/>
      <c r="IR1" s="202"/>
      <c r="IS1" s="216"/>
      <c r="IT1" s="225" t="s">
        <v>294</v>
      </c>
      <c r="IU1" s="175"/>
      <c r="IV1" s="175"/>
      <c r="IW1" s="201"/>
      <c r="IX1" s="175"/>
      <c r="IY1" s="202"/>
      <c r="IZ1" s="202"/>
      <c r="JA1" s="202"/>
      <c r="JB1" s="202"/>
    </row>
    <row r="2" spans="1:262" ht="19" x14ac:dyDescent="0.25">
      <c r="A2" s="26"/>
      <c r="H2" s="20"/>
      <c r="I2" s="21"/>
      <c r="J2" s="6" t="s">
        <v>344</v>
      </c>
      <c r="K2" s="7"/>
      <c r="L2" s="7"/>
      <c r="M2" s="7"/>
      <c r="N2" s="156" t="s">
        <v>172</v>
      </c>
      <c r="O2" s="7"/>
      <c r="P2" s="7"/>
      <c r="Q2" s="7"/>
      <c r="R2" s="7" t="s">
        <v>175</v>
      </c>
      <c r="S2" s="7" t="s">
        <v>176</v>
      </c>
      <c r="T2" s="7" t="s">
        <v>175</v>
      </c>
      <c r="U2" s="7" t="s">
        <v>177</v>
      </c>
      <c r="V2" s="7" t="s">
        <v>178</v>
      </c>
      <c r="W2" s="7" t="s">
        <v>177</v>
      </c>
      <c r="X2" s="16"/>
      <c r="Y2" s="102" t="s">
        <v>185</v>
      </c>
      <c r="Z2" s="62"/>
      <c r="AA2" s="62" t="s">
        <v>227</v>
      </c>
      <c r="AB2" s="62"/>
      <c r="AC2" s="62"/>
      <c r="AD2" s="62" t="s">
        <v>228</v>
      </c>
      <c r="AE2" s="128"/>
      <c r="AF2" s="128"/>
      <c r="AG2" s="131" t="s">
        <v>230</v>
      </c>
      <c r="AH2" s="131"/>
      <c r="AI2" s="131"/>
      <c r="AJ2" s="128" t="s">
        <v>229</v>
      </c>
      <c r="AK2" s="148"/>
      <c r="AL2" s="128"/>
      <c r="AM2" s="62" t="s">
        <v>183</v>
      </c>
      <c r="AN2" s="62"/>
      <c r="AO2" s="62"/>
      <c r="AP2" s="62" t="s">
        <v>187</v>
      </c>
      <c r="AQ2" s="62"/>
      <c r="AR2" s="62"/>
      <c r="AS2" s="62" t="s">
        <v>183</v>
      </c>
      <c r="AT2" s="148"/>
      <c r="AU2" s="148"/>
      <c r="AV2" s="148" t="s">
        <v>187</v>
      </c>
      <c r="AW2" s="148"/>
      <c r="AX2" s="148"/>
      <c r="AY2" s="101"/>
      <c r="AZ2" s="64" t="s">
        <v>86</v>
      </c>
      <c r="BA2" s="37"/>
      <c r="BB2" s="37"/>
      <c r="BC2" s="134" t="s">
        <v>236</v>
      </c>
      <c r="BD2" s="134" t="s">
        <v>236</v>
      </c>
      <c r="BE2" s="134" t="s">
        <v>236</v>
      </c>
      <c r="BF2" s="37" t="s">
        <v>239</v>
      </c>
      <c r="BG2" s="37" t="s">
        <v>239</v>
      </c>
      <c r="BH2" s="37" t="s">
        <v>239</v>
      </c>
      <c r="BI2" s="140" t="s">
        <v>242</v>
      </c>
      <c r="BJ2" s="140" t="s">
        <v>241</v>
      </c>
      <c r="BK2" s="37" t="s">
        <v>243</v>
      </c>
      <c r="BL2" s="37" t="s">
        <v>244</v>
      </c>
      <c r="BM2" s="134" t="s">
        <v>106</v>
      </c>
      <c r="BN2" s="134" t="s">
        <v>106</v>
      </c>
      <c r="BO2" s="134" t="s">
        <v>106</v>
      </c>
      <c r="BP2" s="145" t="s">
        <v>247</v>
      </c>
      <c r="BQ2" s="145" t="s">
        <v>247</v>
      </c>
      <c r="BR2" s="145" t="s">
        <v>247</v>
      </c>
      <c r="BS2" s="37" t="s">
        <v>112</v>
      </c>
      <c r="BT2" s="37" t="s">
        <v>112</v>
      </c>
      <c r="BU2" s="37" t="s">
        <v>112</v>
      </c>
      <c r="BV2" s="37" t="s">
        <v>112</v>
      </c>
      <c r="BW2" s="134" t="s">
        <v>109</v>
      </c>
      <c r="BX2" s="134" t="s">
        <v>109</v>
      </c>
      <c r="BY2" s="134" t="s">
        <v>109</v>
      </c>
      <c r="BZ2" s="145" t="s">
        <v>258</v>
      </c>
      <c r="CA2" s="145" t="s">
        <v>258</v>
      </c>
      <c r="CB2" s="145" t="s">
        <v>258</v>
      </c>
      <c r="CC2" s="37" t="s">
        <v>113</v>
      </c>
      <c r="CD2" s="37" t="s">
        <v>113</v>
      </c>
      <c r="CE2" s="37" t="s">
        <v>113</v>
      </c>
      <c r="CF2" s="37" t="s">
        <v>113</v>
      </c>
      <c r="CG2" s="101"/>
      <c r="CH2" s="7" t="s">
        <v>232</v>
      </c>
      <c r="CI2" s="7"/>
      <c r="CJ2" s="7"/>
      <c r="CK2" s="7" t="s">
        <v>118</v>
      </c>
      <c r="CL2" s="7"/>
      <c r="CM2" s="7"/>
      <c r="CN2" s="156"/>
      <c r="CO2" s="7"/>
      <c r="CP2" s="49"/>
      <c r="CQ2" s="49" t="s">
        <v>119</v>
      </c>
      <c r="CR2" s="161"/>
      <c r="CS2" s="7"/>
      <c r="CT2" s="156"/>
      <c r="CU2" s="7"/>
      <c r="CV2" s="156"/>
      <c r="CW2" s="6" t="s">
        <v>120</v>
      </c>
      <c r="CX2" s="156"/>
      <c r="CY2" s="7"/>
      <c r="CZ2" s="148"/>
      <c r="DA2" s="62"/>
      <c r="DB2" s="148"/>
      <c r="DC2" s="155"/>
      <c r="DD2" s="7" t="s">
        <v>231</v>
      </c>
      <c r="DE2" s="7"/>
      <c r="DF2" s="7"/>
      <c r="DG2" s="7" t="s">
        <v>271</v>
      </c>
      <c r="DH2" s="7"/>
      <c r="DI2" s="7"/>
      <c r="DJ2" s="49" t="s">
        <v>272</v>
      </c>
      <c r="DK2" s="49"/>
      <c r="DL2" s="49"/>
      <c r="DM2" s="49" t="s">
        <v>276</v>
      </c>
      <c r="DN2" s="7"/>
      <c r="DO2" s="7"/>
      <c r="DP2" s="62" t="s">
        <v>275</v>
      </c>
      <c r="DQ2" s="7"/>
      <c r="DR2" s="156"/>
      <c r="DS2" s="6" t="s">
        <v>273</v>
      </c>
      <c r="DT2" s="7"/>
      <c r="DU2" s="62"/>
      <c r="DV2" s="148" t="s">
        <v>274</v>
      </c>
      <c r="DW2" s="148"/>
      <c r="DX2" s="148"/>
      <c r="DY2" s="122"/>
      <c r="DZ2" s="154" t="s">
        <v>280</v>
      </c>
      <c r="EA2" s="165"/>
      <c r="EB2" s="154" t="s">
        <v>282</v>
      </c>
      <c r="EC2" s="154"/>
      <c r="ED2" s="168"/>
      <c r="EE2" s="168"/>
      <c r="EF2" s="168"/>
      <c r="EG2" s="168"/>
      <c r="EH2" s="154" t="s">
        <v>284</v>
      </c>
      <c r="EI2" s="154"/>
      <c r="EJ2" s="154"/>
      <c r="EK2" s="154"/>
      <c r="EL2" s="154"/>
      <c r="EM2" s="165"/>
      <c r="EN2" s="154" t="s">
        <v>285</v>
      </c>
      <c r="EO2" s="154"/>
      <c r="EP2" s="154"/>
      <c r="EQ2" s="154"/>
      <c r="ER2" s="154"/>
      <c r="ES2" s="154"/>
      <c r="ET2" s="154" t="s">
        <v>286</v>
      </c>
      <c r="EU2" s="154"/>
      <c r="EV2" s="154"/>
      <c r="EW2" s="154"/>
      <c r="EX2" s="154"/>
      <c r="EY2" s="165"/>
      <c r="EZ2" s="154" t="s">
        <v>287</v>
      </c>
      <c r="FA2" s="154"/>
      <c r="FB2" s="154"/>
      <c r="FC2" s="154"/>
      <c r="FD2" s="154"/>
      <c r="FE2" s="154"/>
      <c r="FF2" s="154" t="s">
        <v>288</v>
      </c>
      <c r="FG2" s="154"/>
      <c r="FH2" s="154"/>
      <c r="FI2" s="154"/>
      <c r="FJ2" s="154"/>
      <c r="FK2" s="165"/>
      <c r="FL2" s="122"/>
      <c r="FM2" s="168" t="s">
        <v>318</v>
      </c>
      <c r="FN2" s="168"/>
      <c r="FO2" s="168" t="s">
        <v>298</v>
      </c>
      <c r="FP2" s="168"/>
      <c r="FQ2" s="168"/>
      <c r="FR2" s="168"/>
      <c r="FS2" s="168"/>
      <c r="FT2" s="168"/>
      <c r="FU2" s="168"/>
      <c r="FV2" s="168"/>
      <c r="FW2" s="168"/>
      <c r="FX2" s="168" t="s">
        <v>299</v>
      </c>
      <c r="FY2" s="168"/>
      <c r="FZ2" s="168"/>
      <c r="GA2" s="176"/>
      <c r="GB2" s="176"/>
      <c r="GC2" s="176"/>
      <c r="GD2" s="176"/>
      <c r="GE2" s="176"/>
      <c r="GF2" s="200"/>
      <c r="GG2" s="168" t="s">
        <v>298</v>
      </c>
      <c r="GH2" s="168"/>
      <c r="GI2" s="168"/>
      <c r="GJ2" s="168"/>
      <c r="GK2" s="168"/>
      <c r="GL2" s="168"/>
      <c r="GM2" s="168"/>
      <c r="GN2" s="168"/>
      <c r="GO2" s="168"/>
      <c r="GP2" s="168" t="s">
        <v>299</v>
      </c>
      <c r="GQ2" s="168"/>
      <c r="GR2" s="168"/>
      <c r="GS2" s="176"/>
      <c r="GT2" s="176"/>
      <c r="GU2" s="176"/>
      <c r="GV2" s="176"/>
      <c r="GW2" s="176"/>
      <c r="GX2" s="176"/>
      <c r="GY2" s="122"/>
      <c r="GZ2" s="60" t="s">
        <v>293</v>
      </c>
      <c r="HA2" s="8"/>
      <c r="HB2" s="8"/>
      <c r="HC2" s="57" t="s">
        <v>104</v>
      </c>
      <c r="HD2" s="8"/>
      <c r="HE2" s="40"/>
      <c r="HF2" s="52" t="s">
        <v>108</v>
      </c>
      <c r="HG2" s="50"/>
      <c r="HH2" s="195"/>
      <c r="HI2" s="60" t="s">
        <v>293</v>
      </c>
      <c r="HJ2" s="8"/>
      <c r="HK2" s="8"/>
      <c r="HL2" s="180" t="s">
        <v>104</v>
      </c>
      <c r="HM2" s="181"/>
      <c r="HN2" s="182"/>
      <c r="HO2" s="187" t="s">
        <v>108</v>
      </c>
      <c r="HP2" s="188"/>
      <c r="HQ2" s="188"/>
      <c r="HR2" s="122"/>
      <c r="HS2" s="226" t="s">
        <v>338</v>
      </c>
      <c r="HT2" s="204"/>
      <c r="HU2" s="204"/>
      <c r="HV2" s="203" t="s">
        <v>104</v>
      </c>
      <c r="HW2" s="204"/>
      <c r="HX2" s="205"/>
      <c r="HY2" s="206" t="s">
        <v>339</v>
      </c>
      <c r="HZ2" s="207"/>
      <c r="IA2" s="217"/>
      <c r="IB2" s="226" t="s">
        <v>340</v>
      </c>
      <c r="IC2" s="204"/>
      <c r="ID2" s="204"/>
      <c r="IE2" s="203" t="s">
        <v>104</v>
      </c>
      <c r="IF2" s="204"/>
      <c r="IG2" s="205"/>
      <c r="IH2" s="206" t="s">
        <v>339</v>
      </c>
      <c r="II2" s="207"/>
      <c r="IJ2" s="217"/>
      <c r="IK2" s="226" t="s">
        <v>340</v>
      </c>
      <c r="IL2" s="204"/>
      <c r="IM2" s="204"/>
      <c r="IN2" s="203" t="s">
        <v>104</v>
      </c>
      <c r="IO2" s="204"/>
      <c r="IP2" s="205"/>
      <c r="IQ2" s="206" t="s">
        <v>341</v>
      </c>
      <c r="IR2" s="207"/>
      <c r="IS2" s="217"/>
      <c r="IT2" s="226" t="s">
        <v>342</v>
      </c>
      <c r="IU2" s="204"/>
      <c r="IV2" s="204"/>
      <c r="IW2" s="203" t="s">
        <v>350</v>
      </c>
      <c r="IX2" s="204"/>
      <c r="IY2" s="205"/>
      <c r="IZ2" s="206" t="s">
        <v>341</v>
      </c>
      <c r="JA2" s="207"/>
      <c r="JB2" s="207"/>
    </row>
    <row r="3" spans="1:262" x14ac:dyDescent="0.2">
      <c r="A3" s="15" t="s">
        <v>0</v>
      </c>
      <c r="B3" s="15" t="s">
        <v>9</v>
      </c>
      <c r="C3" s="15" t="s">
        <v>2</v>
      </c>
      <c r="D3" s="15" t="s">
        <v>1</v>
      </c>
      <c r="E3" s="15" t="s">
        <v>3</v>
      </c>
      <c r="F3" s="15" t="s">
        <v>6</v>
      </c>
      <c r="G3" s="15" t="s">
        <v>5</v>
      </c>
      <c r="H3" s="22"/>
      <c r="I3" s="23"/>
      <c r="J3" s="9" t="s">
        <v>74</v>
      </c>
      <c r="K3" s="9" t="s">
        <v>101</v>
      </c>
      <c r="L3" s="9" t="s">
        <v>349</v>
      </c>
      <c r="M3" s="9" t="s">
        <v>131</v>
      </c>
      <c r="N3" s="159" t="s">
        <v>173</v>
      </c>
      <c r="O3" s="9" t="s">
        <v>346</v>
      </c>
      <c r="P3" s="9" t="s">
        <v>345</v>
      </c>
      <c r="Q3" s="9" t="s">
        <v>1</v>
      </c>
      <c r="R3" s="10" t="s">
        <v>101</v>
      </c>
      <c r="S3" s="10" t="s">
        <v>96</v>
      </c>
      <c r="T3" s="10" t="s">
        <v>102</v>
      </c>
      <c r="U3" s="10" t="s">
        <v>101</v>
      </c>
      <c r="V3" s="10" t="s">
        <v>96</v>
      </c>
      <c r="W3" s="10" t="s">
        <v>102</v>
      </c>
      <c r="X3" s="17"/>
      <c r="Y3" s="103" t="s">
        <v>182</v>
      </c>
      <c r="Z3" s="103" t="s">
        <v>184</v>
      </c>
      <c r="AA3" s="100" t="s">
        <v>101</v>
      </c>
      <c r="AB3" s="100" t="s">
        <v>96</v>
      </c>
      <c r="AC3" s="100" t="s">
        <v>102</v>
      </c>
      <c r="AD3" s="100" t="s">
        <v>101</v>
      </c>
      <c r="AE3" s="129" t="s">
        <v>96</v>
      </c>
      <c r="AF3" s="129" t="s">
        <v>102</v>
      </c>
      <c r="AG3" s="132" t="s">
        <v>101</v>
      </c>
      <c r="AH3" s="132" t="s">
        <v>96</v>
      </c>
      <c r="AI3" s="132" t="s">
        <v>102</v>
      </c>
      <c r="AJ3" s="129" t="s">
        <v>101</v>
      </c>
      <c r="AK3" s="149" t="s">
        <v>96</v>
      </c>
      <c r="AL3" s="129" t="s">
        <v>102</v>
      </c>
      <c r="AM3" s="100" t="s">
        <v>101</v>
      </c>
      <c r="AN3" s="100" t="s">
        <v>96</v>
      </c>
      <c r="AO3" s="100" t="s">
        <v>102</v>
      </c>
      <c r="AP3" s="100" t="s">
        <v>101</v>
      </c>
      <c r="AQ3" s="100" t="s">
        <v>96</v>
      </c>
      <c r="AR3" s="100" t="s">
        <v>102</v>
      </c>
      <c r="AS3" s="100" t="s">
        <v>101</v>
      </c>
      <c r="AT3" s="149" t="s">
        <v>96</v>
      </c>
      <c r="AU3" s="149" t="s">
        <v>102</v>
      </c>
      <c r="AV3" s="149" t="s">
        <v>101</v>
      </c>
      <c r="AW3" s="149" t="s">
        <v>96</v>
      </c>
      <c r="AX3" s="149" t="s">
        <v>102</v>
      </c>
      <c r="AY3" s="17"/>
      <c r="AZ3" s="10" t="s">
        <v>85</v>
      </c>
      <c r="BA3" s="10" t="s">
        <v>89</v>
      </c>
      <c r="BB3" s="10" t="s">
        <v>90</v>
      </c>
      <c r="BC3" s="135" t="s">
        <v>352</v>
      </c>
      <c r="BD3" s="135" t="s">
        <v>357</v>
      </c>
      <c r="BE3" s="135" t="s">
        <v>110</v>
      </c>
      <c r="BF3" s="10" t="s">
        <v>352</v>
      </c>
      <c r="BG3" s="10" t="s">
        <v>367</v>
      </c>
      <c r="BH3" s="10" t="s">
        <v>110</v>
      </c>
      <c r="BI3" s="141" t="s">
        <v>91</v>
      </c>
      <c r="BJ3" s="141" t="s">
        <v>92</v>
      </c>
      <c r="BK3" s="10" t="s">
        <v>250</v>
      </c>
      <c r="BL3" s="10" t="s">
        <v>251</v>
      </c>
      <c r="BM3" s="135" t="s">
        <v>354</v>
      </c>
      <c r="BN3" s="135" t="s">
        <v>356</v>
      </c>
      <c r="BO3" s="135" t="s">
        <v>111</v>
      </c>
      <c r="BP3" s="146" t="s">
        <v>368</v>
      </c>
      <c r="BQ3" s="146" t="s">
        <v>363</v>
      </c>
      <c r="BR3" s="146" t="s">
        <v>252</v>
      </c>
      <c r="BS3" s="10" t="s">
        <v>91</v>
      </c>
      <c r="BT3" s="10" t="s">
        <v>92</v>
      </c>
      <c r="BU3" s="10" t="s">
        <v>254</v>
      </c>
      <c r="BV3" s="10" t="s">
        <v>255</v>
      </c>
      <c r="BW3" s="135" t="s">
        <v>354</v>
      </c>
      <c r="BX3" s="135" t="s">
        <v>356</v>
      </c>
      <c r="BY3" s="135" t="s">
        <v>111</v>
      </c>
      <c r="BZ3" s="146" t="s">
        <v>365</v>
      </c>
      <c r="CA3" s="146" t="s">
        <v>364</v>
      </c>
      <c r="CB3" s="146" t="s">
        <v>257</v>
      </c>
      <c r="CC3" s="10" t="s">
        <v>114</v>
      </c>
      <c r="CD3" s="10" t="s">
        <v>115</v>
      </c>
      <c r="CE3" s="10" t="s">
        <v>261</v>
      </c>
      <c r="CF3" s="10" t="s">
        <v>262</v>
      </c>
      <c r="CG3" s="17"/>
      <c r="CH3" s="9" t="s">
        <v>77</v>
      </c>
      <c r="CI3" s="9" t="s">
        <v>78</v>
      </c>
      <c r="CJ3" s="9" t="s">
        <v>79</v>
      </c>
      <c r="CK3" s="45" t="s">
        <v>263</v>
      </c>
      <c r="CL3" s="10" t="s">
        <v>264</v>
      </c>
      <c r="CM3" s="10" t="s">
        <v>265</v>
      </c>
      <c r="CN3" s="146" t="s">
        <v>266</v>
      </c>
      <c r="CO3" s="10" t="s">
        <v>267</v>
      </c>
      <c r="CP3" s="10" t="s">
        <v>268</v>
      </c>
      <c r="CQ3" s="45" t="s">
        <v>263</v>
      </c>
      <c r="CR3" s="146" t="s">
        <v>264</v>
      </c>
      <c r="CS3" s="10" t="s">
        <v>265</v>
      </c>
      <c r="CT3" s="146" t="s">
        <v>266</v>
      </c>
      <c r="CU3" s="10" t="s">
        <v>267</v>
      </c>
      <c r="CV3" s="146" t="s">
        <v>268</v>
      </c>
      <c r="CW3" s="46" t="s">
        <v>263</v>
      </c>
      <c r="CX3" s="146" t="s">
        <v>269</v>
      </c>
      <c r="CY3" s="10" t="s">
        <v>265</v>
      </c>
      <c r="CZ3" s="146" t="s">
        <v>266</v>
      </c>
      <c r="DA3" s="10" t="s">
        <v>267</v>
      </c>
      <c r="DB3" s="146" t="s">
        <v>268</v>
      </c>
      <c r="DC3" s="115"/>
      <c r="DD3" s="9" t="s">
        <v>77</v>
      </c>
      <c r="DE3" s="9" t="s">
        <v>78</v>
      </c>
      <c r="DF3" s="9" t="s">
        <v>79</v>
      </c>
      <c r="DG3" s="45" t="s">
        <v>117</v>
      </c>
      <c r="DH3" s="10" t="s">
        <v>121</v>
      </c>
      <c r="DI3" s="10" t="s">
        <v>122</v>
      </c>
      <c r="DJ3" s="45" t="s">
        <v>117</v>
      </c>
      <c r="DK3" s="10" t="s">
        <v>121</v>
      </c>
      <c r="DL3" s="10" t="s">
        <v>122</v>
      </c>
      <c r="DM3" s="45" t="s">
        <v>117</v>
      </c>
      <c r="DN3" s="10" t="s">
        <v>121</v>
      </c>
      <c r="DO3" s="10" t="s">
        <v>122</v>
      </c>
      <c r="DP3" s="45" t="s">
        <v>117</v>
      </c>
      <c r="DQ3" s="10" t="s">
        <v>121</v>
      </c>
      <c r="DR3" s="146" t="s">
        <v>122</v>
      </c>
      <c r="DS3" s="46" t="s">
        <v>117</v>
      </c>
      <c r="DT3" s="10" t="s">
        <v>121</v>
      </c>
      <c r="DU3" s="10" t="s">
        <v>122</v>
      </c>
      <c r="DV3" s="163" t="s">
        <v>117</v>
      </c>
      <c r="DW3" s="146" t="s">
        <v>121</v>
      </c>
      <c r="DX3" s="146" t="s">
        <v>122</v>
      </c>
      <c r="DY3" s="123"/>
      <c r="DZ3" s="9" t="s">
        <v>277</v>
      </c>
      <c r="EA3" s="166" t="s">
        <v>278</v>
      </c>
      <c r="EB3" s="9" t="s">
        <v>117</v>
      </c>
      <c r="EC3" s="9" t="s">
        <v>117</v>
      </c>
      <c r="ED3" s="169" t="s">
        <v>121</v>
      </c>
      <c r="EE3" s="169" t="s">
        <v>121</v>
      </c>
      <c r="EF3" s="169" t="s">
        <v>122</v>
      </c>
      <c r="EG3" s="169" t="s">
        <v>122</v>
      </c>
      <c r="EH3" s="9" t="s">
        <v>117</v>
      </c>
      <c r="EI3" s="9" t="s">
        <v>117</v>
      </c>
      <c r="EJ3" s="9" t="s">
        <v>121</v>
      </c>
      <c r="EK3" s="9" t="s">
        <v>121</v>
      </c>
      <c r="EL3" s="9" t="s">
        <v>122</v>
      </c>
      <c r="EM3" s="166" t="s">
        <v>122</v>
      </c>
      <c r="EN3" s="9" t="s">
        <v>117</v>
      </c>
      <c r="EO3" s="9" t="s">
        <v>117</v>
      </c>
      <c r="EP3" s="9" t="s">
        <v>121</v>
      </c>
      <c r="EQ3" s="9" t="s">
        <v>121</v>
      </c>
      <c r="ER3" s="9" t="s">
        <v>122</v>
      </c>
      <c r="ES3" s="9" t="s">
        <v>122</v>
      </c>
      <c r="ET3" s="9" t="s">
        <v>117</v>
      </c>
      <c r="EU3" s="9" t="s">
        <v>117</v>
      </c>
      <c r="EV3" s="9" t="s">
        <v>121</v>
      </c>
      <c r="EW3" s="9" t="s">
        <v>121</v>
      </c>
      <c r="EX3" s="9" t="s">
        <v>122</v>
      </c>
      <c r="EY3" s="166" t="s">
        <v>122</v>
      </c>
      <c r="EZ3" s="9" t="s">
        <v>117</v>
      </c>
      <c r="FA3" s="9" t="s">
        <v>117</v>
      </c>
      <c r="FB3" s="9" t="s">
        <v>121</v>
      </c>
      <c r="FC3" s="9" t="s">
        <v>121</v>
      </c>
      <c r="FD3" s="9" t="s">
        <v>122</v>
      </c>
      <c r="FE3" s="9" t="s">
        <v>122</v>
      </c>
      <c r="FF3" s="9" t="s">
        <v>117</v>
      </c>
      <c r="FG3" s="9" t="s">
        <v>117</v>
      </c>
      <c r="FH3" s="9" t="s">
        <v>121</v>
      </c>
      <c r="FI3" s="9" t="s">
        <v>121</v>
      </c>
      <c r="FJ3" s="9" t="s">
        <v>122</v>
      </c>
      <c r="FK3" s="166" t="s">
        <v>122</v>
      </c>
      <c r="FL3" s="123"/>
      <c r="FM3" s="9"/>
      <c r="FN3" s="9"/>
      <c r="FO3" s="168" t="s">
        <v>105</v>
      </c>
      <c r="FP3" s="168"/>
      <c r="FQ3" s="168"/>
      <c r="FR3" s="168" t="s">
        <v>104</v>
      </c>
      <c r="FS3" s="168"/>
      <c r="FT3" s="168"/>
      <c r="FU3" s="168" t="s">
        <v>108</v>
      </c>
      <c r="FV3" s="168"/>
      <c r="FW3" s="168"/>
      <c r="FX3" s="168" t="s">
        <v>105</v>
      </c>
      <c r="FY3" s="168"/>
      <c r="FZ3" s="168"/>
      <c r="GA3" s="176" t="s">
        <v>104</v>
      </c>
      <c r="GB3" s="176"/>
      <c r="GC3" s="176"/>
      <c r="GD3" s="176" t="s">
        <v>108</v>
      </c>
      <c r="GE3" s="176"/>
      <c r="GF3" s="200"/>
      <c r="GG3" s="168" t="s">
        <v>105</v>
      </c>
      <c r="GH3" s="168"/>
      <c r="GI3" s="168"/>
      <c r="GJ3" s="168" t="s">
        <v>104</v>
      </c>
      <c r="GK3" s="168"/>
      <c r="GL3" s="168"/>
      <c r="GM3" s="168" t="s">
        <v>108</v>
      </c>
      <c r="GN3" s="168"/>
      <c r="GO3" s="168"/>
      <c r="GP3" s="168" t="s">
        <v>105</v>
      </c>
      <c r="GQ3" s="168"/>
      <c r="GR3" s="168"/>
      <c r="GS3" s="176" t="s">
        <v>104</v>
      </c>
      <c r="GT3" s="176"/>
      <c r="GU3" s="176"/>
      <c r="GV3" s="176" t="s">
        <v>108</v>
      </c>
      <c r="GW3" s="176"/>
      <c r="GX3" s="176"/>
      <c r="GY3" s="123"/>
      <c r="GZ3" s="176"/>
      <c r="HA3" s="176"/>
      <c r="HB3" s="176"/>
      <c r="HC3" s="176"/>
      <c r="HD3" s="176"/>
      <c r="HE3" s="176"/>
      <c r="HF3" s="176"/>
      <c r="HG3" s="176"/>
      <c r="HH3" s="176"/>
      <c r="HI3" s="176"/>
      <c r="HJ3" s="176"/>
      <c r="HK3" s="176"/>
      <c r="HL3" s="176"/>
      <c r="HM3" s="176"/>
      <c r="HN3" s="176"/>
      <c r="HO3" s="176"/>
      <c r="HP3" s="176"/>
      <c r="HQ3" s="176"/>
      <c r="HR3" s="123"/>
      <c r="HS3" s="176" t="s">
        <v>324</v>
      </c>
      <c r="HT3" s="176"/>
      <c r="HU3" s="176"/>
      <c r="HV3" s="176"/>
      <c r="HW3" s="176"/>
      <c r="HX3" s="176"/>
      <c r="HY3" s="176"/>
      <c r="HZ3" s="176"/>
      <c r="IA3" s="200"/>
      <c r="IB3" s="176"/>
      <c r="IC3" s="176"/>
      <c r="ID3" s="176"/>
      <c r="IE3" s="176"/>
      <c r="IF3" s="176"/>
      <c r="IG3" s="176"/>
      <c r="IH3" s="176"/>
      <c r="II3" s="176"/>
      <c r="IJ3" s="200"/>
      <c r="IK3" s="176" t="s">
        <v>328</v>
      </c>
      <c r="IL3" s="176"/>
      <c r="IM3" s="176"/>
      <c r="IN3" s="176"/>
      <c r="IO3" s="176"/>
      <c r="IP3" s="176"/>
      <c r="IQ3" s="176"/>
      <c r="IR3" s="176"/>
      <c r="IS3" s="176"/>
      <c r="IT3" s="176"/>
      <c r="IU3" s="176"/>
      <c r="IV3" s="176"/>
      <c r="IW3" s="176"/>
      <c r="IX3" s="176"/>
      <c r="IY3" s="176"/>
      <c r="IZ3" s="176"/>
      <c r="JA3" s="176"/>
      <c r="JB3" s="176"/>
    </row>
    <row r="4" spans="1:262" ht="19" x14ac:dyDescent="0.25">
      <c r="A4" s="24" t="s">
        <v>75</v>
      </c>
      <c r="B4" s="25"/>
      <c r="C4" s="25"/>
      <c r="D4" s="25"/>
      <c r="E4" s="25"/>
      <c r="F4" s="25"/>
      <c r="G4" s="25"/>
      <c r="H4" s="22"/>
      <c r="I4" s="23"/>
      <c r="J4" s="9"/>
      <c r="K4" s="9" t="s">
        <v>128</v>
      </c>
      <c r="L4" s="9"/>
      <c r="M4" s="9" t="s">
        <v>130</v>
      </c>
      <c r="N4" s="159" t="s">
        <v>348</v>
      </c>
      <c r="O4" s="9" t="s">
        <v>348</v>
      </c>
      <c r="P4" s="9" t="s">
        <v>348</v>
      </c>
      <c r="Q4" s="9"/>
      <c r="R4" s="10"/>
      <c r="S4" s="10"/>
      <c r="T4" s="10"/>
      <c r="U4" s="10"/>
      <c r="V4" s="10"/>
      <c r="W4" s="10"/>
      <c r="X4" s="17"/>
      <c r="Y4" s="103" t="s">
        <v>186</v>
      </c>
      <c r="Z4" s="103"/>
      <c r="AA4" s="100"/>
      <c r="AB4" s="100"/>
      <c r="AC4" s="100"/>
      <c r="AD4" s="100"/>
      <c r="AE4" s="129"/>
      <c r="AF4" s="129"/>
      <c r="AG4" s="132"/>
      <c r="AH4" s="132"/>
      <c r="AI4" s="132"/>
      <c r="AJ4" s="129"/>
      <c r="AK4" s="149"/>
      <c r="AL4" s="129"/>
      <c r="AM4" s="100"/>
      <c r="AN4" s="100"/>
      <c r="AO4" s="100"/>
      <c r="AP4" s="100"/>
      <c r="AQ4" s="100"/>
      <c r="AR4" s="100"/>
      <c r="AS4" s="100"/>
      <c r="AT4" s="149"/>
      <c r="AU4" s="149"/>
      <c r="AV4" s="149"/>
      <c r="AW4" s="149"/>
      <c r="AX4" s="149"/>
      <c r="AY4" s="17"/>
      <c r="AZ4" s="10"/>
      <c r="BA4" s="10" t="s">
        <v>88</v>
      </c>
      <c r="BB4" s="10"/>
      <c r="BC4" s="135"/>
      <c r="BD4" s="135" t="s">
        <v>362</v>
      </c>
      <c r="BE4" s="135"/>
      <c r="BF4" s="10"/>
      <c r="BG4" s="10"/>
      <c r="BH4" s="10"/>
      <c r="BI4" s="141"/>
      <c r="BJ4" s="141"/>
      <c r="BK4" s="10"/>
      <c r="BL4" s="10"/>
      <c r="BM4" s="135"/>
      <c r="BN4" s="135"/>
      <c r="BO4" s="135"/>
      <c r="BP4" s="146"/>
      <c r="BQ4" s="146"/>
      <c r="BR4" s="146"/>
      <c r="BS4" s="10"/>
      <c r="BT4" s="10"/>
      <c r="BU4" s="10"/>
      <c r="BV4" s="10"/>
      <c r="BW4" s="135"/>
      <c r="BX4" s="135"/>
      <c r="BY4" s="135"/>
      <c r="BZ4" s="146"/>
      <c r="CA4" s="146"/>
      <c r="CB4" s="146"/>
      <c r="CC4" s="10"/>
      <c r="CD4" s="10"/>
      <c r="CE4" s="10"/>
      <c r="CF4" s="10"/>
      <c r="CG4" s="17"/>
      <c r="CH4" s="9"/>
      <c r="CI4" s="9"/>
      <c r="CJ4" s="9"/>
      <c r="CK4" s="46"/>
      <c r="CL4" s="10"/>
      <c r="CM4" s="10"/>
      <c r="CN4" s="146"/>
      <c r="CO4" s="10"/>
      <c r="CP4" s="10"/>
      <c r="CQ4" s="46"/>
      <c r="CR4" s="146"/>
      <c r="CS4" s="10"/>
      <c r="CT4" s="146"/>
      <c r="CU4" s="10"/>
      <c r="CV4" s="146"/>
      <c r="CW4" s="46"/>
      <c r="CX4" s="146"/>
      <c r="CY4" s="10"/>
      <c r="CZ4" s="146"/>
      <c r="DA4" s="10"/>
      <c r="DB4" s="146"/>
      <c r="DC4" s="116"/>
      <c r="DD4" s="124">
        <v>0.88480000000000003</v>
      </c>
      <c r="DE4" s="124">
        <v>0.94579999999999997</v>
      </c>
      <c r="DF4" s="124">
        <v>0.97699999999999998</v>
      </c>
      <c r="DG4" s="46"/>
      <c r="DH4" s="10"/>
      <c r="DI4" s="10"/>
      <c r="DJ4" s="10"/>
      <c r="DK4" s="10"/>
      <c r="DL4" s="10"/>
      <c r="DM4" s="46"/>
      <c r="DN4" s="10"/>
      <c r="DO4" s="10"/>
      <c r="DP4" s="10"/>
      <c r="DQ4" s="10"/>
      <c r="DR4" s="146"/>
      <c r="DS4" s="46"/>
      <c r="DT4" s="10"/>
      <c r="DU4" s="10"/>
      <c r="DV4" s="146"/>
      <c r="DW4" s="146"/>
      <c r="DX4" s="146"/>
      <c r="DY4" s="123"/>
      <c r="DZ4" s="124">
        <v>0.68</v>
      </c>
      <c r="EA4" s="167">
        <v>0.32</v>
      </c>
      <c r="EB4" s="124" t="s">
        <v>281</v>
      </c>
      <c r="EC4" s="124" t="s">
        <v>283</v>
      </c>
      <c r="ED4" s="169" t="s">
        <v>281</v>
      </c>
      <c r="EE4" s="169" t="s">
        <v>283</v>
      </c>
      <c r="EF4" s="169" t="s">
        <v>281</v>
      </c>
      <c r="EG4" s="169" t="s">
        <v>283</v>
      </c>
      <c r="EH4" s="124" t="s">
        <v>281</v>
      </c>
      <c r="EI4" s="124" t="s">
        <v>283</v>
      </c>
      <c r="EJ4" s="124" t="s">
        <v>281</v>
      </c>
      <c r="EK4" s="124" t="s">
        <v>283</v>
      </c>
      <c r="EL4" s="124" t="s">
        <v>281</v>
      </c>
      <c r="EM4" s="167" t="s">
        <v>283</v>
      </c>
      <c r="EN4" s="124" t="s">
        <v>281</v>
      </c>
      <c r="EO4" s="124" t="s">
        <v>283</v>
      </c>
      <c r="EP4" s="124" t="s">
        <v>281</v>
      </c>
      <c r="EQ4" s="124" t="s">
        <v>283</v>
      </c>
      <c r="ER4" s="124" t="s">
        <v>281</v>
      </c>
      <c r="ES4" s="124" t="s">
        <v>283</v>
      </c>
      <c r="ET4" s="124" t="s">
        <v>281</v>
      </c>
      <c r="EU4" s="124" t="s">
        <v>283</v>
      </c>
      <c r="EV4" s="124" t="s">
        <v>281</v>
      </c>
      <c r="EW4" s="124" t="s">
        <v>283</v>
      </c>
      <c r="EX4" s="124" t="s">
        <v>281</v>
      </c>
      <c r="EY4" s="167" t="s">
        <v>283</v>
      </c>
      <c r="EZ4" s="124" t="s">
        <v>281</v>
      </c>
      <c r="FA4" s="124" t="s">
        <v>283</v>
      </c>
      <c r="FB4" s="124" t="s">
        <v>281</v>
      </c>
      <c r="FC4" s="124" t="s">
        <v>283</v>
      </c>
      <c r="FD4" s="124" t="s">
        <v>281</v>
      </c>
      <c r="FE4" s="124" t="s">
        <v>283</v>
      </c>
      <c r="FF4" s="124" t="s">
        <v>281</v>
      </c>
      <c r="FG4" s="124" t="s">
        <v>283</v>
      </c>
      <c r="FH4" s="124" t="s">
        <v>281</v>
      </c>
      <c r="FI4" s="124" t="s">
        <v>283</v>
      </c>
      <c r="FJ4" s="124" t="s">
        <v>281</v>
      </c>
      <c r="FK4" s="167" t="s">
        <v>283</v>
      </c>
      <c r="FL4" s="123"/>
      <c r="FM4" s="124" t="s">
        <v>297</v>
      </c>
      <c r="FN4" s="124" t="s">
        <v>319</v>
      </c>
      <c r="FO4" s="168" t="s">
        <v>117</v>
      </c>
      <c r="FP4" s="168" t="s">
        <v>121</v>
      </c>
      <c r="FQ4" s="168" t="s">
        <v>122</v>
      </c>
      <c r="FR4" s="168" t="s">
        <v>117</v>
      </c>
      <c r="FS4" s="168" t="s">
        <v>121</v>
      </c>
      <c r="FT4" s="168" t="s">
        <v>122</v>
      </c>
      <c r="FU4" s="168" t="s">
        <v>117</v>
      </c>
      <c r="FV4" s="168" t="s">
        <v>121</v>
      </c>
      <c r="FW4" s="168" t="s">
        <v>122</v>
      </c>
      <c r="FX4" s="168" t="s">
        <v>117</v>
      </c>
      <c r="FY4" s="168" t="s">
        <v>121</v>
      </c>
      <c r="FZ4" s="168" t="s">
        <v>122</v>
      </c>
      <c r="GA4" s="176" t="s">
        <v>117</v>
      </c>
      <c r="GB4" s="176" t="s">
        <v>121</v>
      </c>
      <c r="GC4" s="176" t="s">
        <v>122</v>
      </c>
      <c r="GD4" s="176" t="s">
        <v>117</v>
      </c>
      <c r="GE4" s="176" t="s">
        <v>121</v>
      </c>
      <c r="GF4" s="200" t="s">
        <v>122</v>
      </c>
      <c r="GG4" s="168" t="s">
        <v>117</v>
      </c>
      <c r="GH4" s="168" t="s">
        <v>121</v>
      </c>
      <c r="GI4" s="168" t="s">
        <v>122</v>
      </c>
      <c r="GJ4" s="168" t="s">
        <v>117</v>
      </c>
      <c r="GK4" s="168" t="s">
        <v>121</v>
      </c>
      <c r="GL4" s="168" t="s">
        <v>122</v>
      </c>
      <c r="GM4" s="168" t="s">
        <v>117</v>
      </c>
      <c r="GN4" s="168" t="s">
        <v>121</v>
      </c>
      <c r="GO4" s="168" t="s">
        <v>122</v>
      </c>
      <c r="GP4" s="168" t="s">
        <v>117</v>
      </c>
      <c r="GQ4" s="168" t="s">
        <v>121</v>
      </c>
      <c r="GR4" s="168" t="s">
        <v>122</v>
      </c>
      <c r="GS4" s="176" t="s">
        <v>117</v>
      </c>
      <c r="GT4" s="176" t="s">
        <v>121</v>
      </c>
      <c r="GU4" s="176" t="s">
        <v>122</v>
      </c>
      <c r="GV4" s="176" t="s">
        <v>117</v>
      </c>
      <c r="GW4" s="176" t="s">
        <v>121</v>
      </c>
      <c r="GX4" s="176" t="s">
        <v>122</v>
      </c>
      <c r="GY4" s="123"/>
      <c r="GZ4" s="10" t="s">
        <v>80</v>
      </c>
      <c r="HA4" s="10" t="s">
        <v>81</v>
      </c>
      <c r="HB4" s="41" t="s">
        <v>82</v>
      </c>
      <c r="HC4" s="46" t="s">
        <v>80</v>
      </c>
      <c r="HD4" s="10" t="s">
        <v>81</v>
      </c>
      <c r="HE4" s="41" t="s">
        <v>82</v>
      </c>
      <c r="HF4" s="46" t="s">
        <v>80</v>
      </c>
      <c r="HG4" s="10" t="s">
        <v>81</v>
      </c>
      <c r="HH4" s="196" t="s">
        <v>82</v>
      </c>
      <c r="HI4" s="10" t="s">
        <v>80</v>
      </c>
      <c r="HJ4" s="10" t="s">
        <v>81</v>
      </c>
      <c r="HK4" s="41" t="s">
        <v>82</v>
      </c>
      <c r="HL4" s="163" t="s">
        <v>80</v>
      </c>
      <c r="HM4" s="146" t="s">
        <v>81</v>
      </c>
      <c r="HN4" s="183" t="s">
        <v>82</v>
      </c>
      <c r="HO4" s="163" t="s">
        <v>80</v>
      </c>
      <c r="HP4" s="146" t="s">
        <v>81</v>
      </c>
      <c r="HQ4" s="183" t="s">
        <v>82</v>
      </c>
      <c r="HR4" s="123"/>
      <c r="HS4" s="209" t="s">
        <v>80</v>
      </c>
      <c r="HT4" s="209" t="s">
        <v>81</v>
      </c>
      <c r="HU4" s="210" t="s">
        <v>82</v>
      </c>
      <c r="HV4" s="208" t="s">
        <v>80</v>
      </c>
      <c r="HW4" s="209" t="s">
        <v>81</v>
      </c>
      <c r="HX4" s="210" t="s">
        <v>82</v>
      </c>
      <c r="HY4" s="208" t="s">
        <v>80</v>
      </c>
      <c r="HZ4" s="209" t="s">
        <v>81</v>
      </c>
      <c r="IA4" s="218" t="s">
        <v>82</v>
      </c>
      <c r="IB4" s="209" t="s">
        <v>80</v>
      </c>
      <c r="IC4" s="209" t="s">
        <v>81</v>
      </c>
      <c r="ID4" s="210" t="s">
        <v>82</v>
      </c>
      <c r="IE4" s="208" t="s">
        <v>80</v>
      </c>
      <c r="IF4" s="209" t="s">
        <v>81</v>
      </c>
      <c r="IG4" s="210" t="s">
        <v>82</v>
      </c>
      <c r="IH4" s="208" t="s">
        <v>80</v>
      </c>
      <c r="II4" s="209" t="s">
        <v>81</v>
      </c>
      <c r="IJ4" s="218" t="s">
        <v>82</v>
      </c>
      <c r="IK4" s="209" t="s">
        <v>80</v>
      </c>
      <c r="IL4" s="209" t="s">
        <v>81</v>
      </c>
      <c r="IM4" s="210" t="s">
        <v>82</v>
      </c>
      <c r="IN4" s="208" t="s">
        <v>80</v>
      </c>
      <c r="IO4" s="209" t="s">
        <v>81</v>
      </c>
      <c r="IP4" s="210" t="s">
        <v>82</v>
      </c>
      <c r="IQ4" s="208" t="s">
        <v>80</v>
      </c>
      <c r="IR4" s="209" t="s">
        <v>81</v>
      </c>
      <c r="IS4" s="218" t="s">
        <v>82</v>
      </c>
      <c r="IT4" s="209" t="s">
        <v>80</v>
      </c>
      <c r="IU4" s="209" t="s">
        <v>81</v>
      </c>
      <c r="IV4" s="210" t="s">
        <v>82</v>
      </c>
      <c r="IW4" s="208" t="s">
        <v>80</v>
      </c>
      <c r="IX4" s="209" t="s">
        <v>81</v>
      </c>
      <c r="IY4" s="210" t="s">
        <v>82</v>
      </c>
      <c r="IZ4" s="208" t="s">
        <v>80</v>
      </c>
      <c r="JA4" s="209" t="s">
        <v>81</v>
      </c>
      <c r="JB4" s="210" t="s">
        <v>82</v>
      </c>
    </row>
    <row r="5" spans="1:262" x14ac:dyDescent="0.2">
      <c r="A5" s="3" t="s">
        <v>4</v>
      </c>
      <c r="B5">
        <v>1168</v>
      </c>
      <c r="C5">
        <v>23</v>
      </c>
      <c r="D5">
        <v>1.67</v>
      </c>
      <c r="E5">
        <v>0.13</v>
      </c>
      <c r="F5" t="s">
        <v>7</v>
      </c>
      <c r="G5" t="s">
        <v>124</v>
      </c>
      <c r="H5" s="20"/>
      <c r="I5" s="21"/>
      <c r="J5">
        <v>152</v>
      </c>
      <c r="K5" s="94">
        <f xml:space="preserve"> 0.0096 * 6 * 110.16</f>
        <v>6.3452159999999997</v>
      </c>
      <c r="L5" s="94">
        <v>416.14</v>
      </c>
      <c r="M5" s="94">
        <f xml:space="preserve"> 1.24 * 6 * 110.16</f>
        <v>819.59039999999993</v>
      </c>
      <c r="N5" s="95">
        <f xml:space="preserve"> 8809 * 6 * 110.16</f>
        <v>5822396.6399999997</v>
      </c>
      <c r="O5" s="96">
        <f>3442905*6*110.16</f>
        <v>2275622488.7999997</v>
      </c>
      <c r="P5" s="95">
        <f xml:space="preserve"> 6877000 * 6 *110.16</f>
        <v>4545421920</v>
      </c>
      <c r="Q5">
        <v>1.67</v>
      </c>
      <c r="R5" s="27">
        <f xml:space="preserve"> J5 * K5 * Q5</f>
        <v>1610.6696294399999</v>
      </c>
      <c r="S5" s="27">
        <f xml:space="preserve"> J5 * L5 * Q5</f>
        <v>105632.9776</v>
      </c>
      <c r="T5" s="27">
        <f xml:space="preserve"> J5 * M5 * Q5</f>
        <v>208044.82713599998</v>
      </c>
      <c r="U5">
        <f xml:space="preserve"> J5 * N5 * Q5</f>
        <v>1477957163.0976</v>
      </c>
      <c r="V5" s="27">
        <f xml:space="preserve"> J5 * O5 * Q5</f>
        <v>577644012556.99194</v>
      </c>
      <c r="W5" s="27">
        <f xml:space="preserve"> J5 * P5 * Q5</f>
        <v>1153809900172.8</v>
      </c>
      <c r="X5" s="18"/>
      <c r="Y5">
        <v>2.3999999999999998E-3</v>
      </c>
      <c r="Z5">
        <v>0.99760000000000004</v>
      </c>
      <c r="AA5" s="94">
        <f xml:space="preserve"> R5 * Y5</f>
        <v>3.8656071106559993</v>
      </c>
      <c r="AB5" s="94">
        <f xml:space="preserve"> S5 * Y5</f>
        <v>253.51914623999997</v>
      </c>
      <c r="AC5" s="94">
        <f xml:space="preserve"> T5 * Y5</f>
        <v>499.30758512639989</v>
      </c>
      <c r="AD5">
        <f xml:space="preserve"> U5 * Y5</f>
        <v>3547097.1914342395</v>
      </c>
      <c r="AE5" s="27">
        <f>V5 * Y5</f>
        <v>1386345630.1367805</v>
      </c>
      <c r="AF5" s="27">
        <f xml:space="preserve"> W5 * Y5</f>
        <v>2769143760.4147201</v>
      </c>
      <c r="AG5" s="94">
        <f xml:space="preserve"> R5 * Z5</f>
        <v>1606.804022329344</v>
      </c>
      <c r="AH5" s="94">
        <f xml:space="preserve"> S5 * Z5</f>
        <v>105379.45845376</v>
      </c>
      <c r="AI5" s="94">
        <f xml:space="preserve"> T5 * Z5</f>
        <v>207545.51955087358</v>
      </c>
      <c r="AJ5" s="27">
        <f xml:space="preserve"> U5 * Z5</f>
        <v>1474410065.9061658</v>
      </c>
      <c r="AK5" s="95">
        <f xml:space="preserve"> V5 * Z5</f>
        <v>576257666926.85522</v>
      </c>
      <c r="AL5" s="27">
        <f xml:space="preserve"> W5 * Z5</f>
        <v>1151040756412.3855</v>
      </c>
      <c r="AM5" s="142">
        <f xml:space="preserve"> SUM(AA5:AA22)</f>
        <v>76.923510423552003</v>
      </c>
      <c r="AN5" s="142">
        <f xml:space="preserve"> SUM(AB5:AB22)</f>
        <v>5044.8951820800003</v>
      </c>
      <c r="AO5" s="142">
        <f xml:space="preserve"> SUM(AC5:AC22)</f>
        <v>9935.9534297087976</v>
      </c>
      <c r="AP5" s="142">
        <f xml:space="preserve"> SUM(AG5:AG22)</f>
        <v>31974.539166056449</v>
      </c>
      <c r="AQ5" s="142">
        <f xml:space="preserve"> SUM(AH5:AH22)</f>
        <v>2096994.76401792</v>
      </c>
      <c r="AR5" s="142">
        <f xml:space="preserve"> SUM(AI5:AI22)</f>
        <v>4130044.6422822913</v>
      </c>
      <c r="AS5" s="142">
        <f xml:space="preserve"> U5 * Y5</f>
        <v>3547097.1914342395</v>
      </c>
      <c r="AT5" s="152">
        <f xml:space="preserve"> V5 * Y5</f>
        <v>1386345630.1367805</v>
      </c>
      <c r="AU5" s="152">
        <f xml:space="preserve"> W5 * Y5</f>
        <v>2769143760.4147201</v>
      </c>
      <c r="AV5" s="152">
        <f xml:space="preserve"> U5 * Z5</f>
        <v>1474410065.9061658</v>
      </c>
      <c r="AW5" s="152">
        <f xml:space="preserve"> V5 * Z5</f>
        <v>576257666926.85522</v>
      </c>
      <c r="AX5" s="152">
        <f xml:space="preserve"> W5 * Z5</f>
        <v>1151040756412.3855</v>
      </c>
      <c r="AY5" s="18"/>
      <c r="AZ5">
        <v>160</v>
      </c>
      <c r="BA5" s="34">
        <f xml:space="preserve"> AZ5 / 8760</f>
        <v>1.8264840182648401E-2</v>
      </c>
      <c r="BB5" s="34">
        <f xml:space="preserve"> 1 - BA5</f>
        <v>0.9817351598173516</v>
      </c>
      <c r="BC5" s="94">
        <f xml:space="preserve"> AG5 * BA5</f>
        <v>29.34801867268208</v>
      </c>
      <c r="BD5" s="94">
        <f xml:space="preserve"> BC5 /2</f>
        <v>14.67400933634104</v>
      </c>
      <c r="BE5" s="94">
        <f xml:space="preserve"> AG5 * BB5 + BD5</f>
        <v>1592.130012993003</v>
      </c>
      <c r="BF5">
        <f xml:space="preserve"> AJ5 * BA5</f>
        <v>26929864.217464216</v>
      </c>
      <c r="BG5">
        <f xml:space="preserve"> BF5 / 2</f>
        <v>13464932.108732108</v>
      </c>
      <c r="BH5">
        <f xml:space="preserve"> AJ5 * BB5 + BG5</f>
        <v>1460945133.7974339</v>
      </c>
      <c r="BI5" s="142">
        <f xml:space="preserve"> SUM(BD5:BD22)</f>
        <v>167.52996173495615</v>
      </c>
      <c r="BJ5" s="142">
        <f xml:space="preserve"> SUM(BE5:BE22)</f>
        <v>31807.009204321494</v>
      </c>
      <c r="BK5" s="1">
        <f xml:space="preserve"> SUM(BG5:BG22)</f>
        <v>153726190.92950299</v>
      </c>
      <c r="BL5" s="1">
        <f xml:space="preserve"> SUM(BH5:BH22)</f>
        <v>29186244175.090416</v>
      </c>
      <c r="BM5" s="94">
        <f xml:space="preserve"> AH5 * BA5</f>
        <v>1924.7389671919634</v>
      </c>
      <c r="BN5" s="94">
        <f xml:space="preserve"> BM5 / 2</f>
        <v>962.36948359598171</v>
      </c>
      <c r="BO5" s="94">
        <f xml:space="preserve"> AH5 * BB5 + BN5</f>
        <v>104417.08897016401</v>
      </c>
      <c r="BP5" s="95">
        <f xml:space="preserve"> AK5 * BA5</f>
        <v>10525254190.444843</v>
      </c>
      <c r="BQ5" s="95">
        <f xml:space="preserve"> BP5 / 2</f>
        <v>5262627095.2224216</v>
      </c>
      <c r="BR5" s="95">
        <f xml:space="preserve"> AK5 * BB5 + BQ5</f>
        <v>570995039831.63281</v>
      </c>
      <c r="BS5" s="138">
        <f xml:space="preserve"> SUM(BN5:BN22)</f>
        <v>10987.162340318231</v>
      </c>
      <c r="BT5" s="138">
        <f xml:space="preserve"> SUM(BO5:BO22)</f>
        <v>2086007.6016776012</v>
      </c>
      <c r="BU5" s="152">
        <f xml:space="preserve"> SUM(BQ5:BQ22)</f>
        <v>60082264886.155136</v>
      </c>
      <c r="BV5" s="152">
        <f xml:space="preserve"> SUM(BR5:BR22)</f>
        <v>11407136565062.967</v>
      </c>
      <c r="BW5" s="94">
        <f xml:space="preserve"> AI5 * BA5</f>
        <v>3790.7857452214348</v>
      </c>
      <c r="BX5" s="94">
        <f xml:space="preserve"> BW5 / 2</f>
        <v>1895.3928726107174</v>
      </c>
      <c r="BY5" s="94">
        <f xml:space="preserve"> AI5 * BB5 + BX5</f>
        <v>205650.12667826287</v>
      </c>
      <c r="BZ5" s="95">
        <f xml:space="preserve"> AL5 * BA5</f>
        <v>21023575459.586948</v>
      </c>
      <c r="CA5" s="95">
        <f xml:space="preserve"> BZ5 / 2</f>
        <v>10511787729.793474</v>
      </c>
      <c r="CB5" s="95">
        <f xml:space="preserve"> AL5 * BB5 + CA5</f>
        <v>1140528968682.592</v>
      </c>
      <c r="CC5" s="138">
        <f xml:space="preserve"> SUM(BX5:BX22)</f>
        <v>21639.286724098507</v>
      </c>
      <c r="CD5" s="138">
        <f xml:space="preserve"> SUM(BY5:BY22)</f>
        <v>4108405.3555581924</v>
      </c>
      <c r="CE5" s="152">
        <f xml:space="preserve"> SUM(CA5:CA22)</f>
        <v>120010786130.34308</v>
      </c>
      <c r="CF5" s="152">
        <f xml:space="preserve"> SUM(CB5:CB22)</f>
        <v>22785083572720.719</v>
      </c>
      <c r="CG5" s="18"/>
      <c r="CH5" s="34">
        <v>0.1152</v>
      </c>
      <c r="CI5" s="34">
        <v>5.4199999999999998E-2</v>
      </c>
      <c r="CJ5">
        <v>2.3E-2</v>
      </c>
      <c r="CK5" s="47">
        <f xml:space="preserve"> BJ5 * CH5</f>
        <v>3664.167460337836</v>
      </c>
      <c r="CL5" s="27">
        <f xml:space="preserve"> BL5 * CH5</f>
        <v>3362255328.9704156</v>
      </c>
      <c r="CM5" s="27">
        <f xml:space="preserve"> BJ5 * CI5</f>
        <v>1723.9398988742248</v>
      </c>
      <c r="CN5" s="95">
        <f xml:space="preserve"> BL5 * CI5</f>
        <v>1581894434.2899005</v>
      </c>
      <c r="CO5" s="27">
        <f xml:space="preserve"> BJ5 * CJ5</f>
        <v>731.56121169939433</v>
      </c>
      <c r="CP5" s="27">
        <f xml:space="preserve"> BL5 * CJ5</f>
        <v>671283616.02707958</v>
      </c>
      <c r="CQ5" s="47">
        <f xml:space="preserve"> BT5 * CH5</f>
        <v>240308.07571325966</v>
      </c>
      <c r="CR5" s="95">
        <f xml:space="preserve"> BV5 * CH5</f>
        <v>1314102132295.2537</v>
      </c>
      <c r="CS5" s="27">
        <f xml:space="preserve"> BT5 * CI5</f>
        <v>113061.61201092598</v>
      </c>
      <c r="CT5" s="95">
        <f xml:space="preserve"> BV5 * CI5</f>
        <v>618266801826.41272</v>
      </c>
      <c r="CU5" s="27">
        <f xml:space="preserve"> BT5 * CJ5</f>
        <v>47978.174838584826</v>
      </c>
      <c r="CV5" s="95">
        <f xml:space="preserve"> BV5 * CJ5</f>
        <v>262364140996.44824</v>
      </c>
      <c r="CW5" s="47">
        <f xml:space="preserve"> CD5 * CH5</f>
        <v>473288.29696030373</v>
      </c>
      <c r="CX5" s="95">
        <f xml:space="preserve"> CF5 * CH5</f>
        <v>2624841627577.4268</v>
      </c>
      <c r="CY5" s="27">
        <f xml:space="preserve"> CD5 * CI5</f>
        <v>222675.57027125402</v>
      </c>
      <c r="CZ5" s="95">
        <f xml:space="preserve"> CF5 * CI5</f>
        <v>1234951529641.4629</v>
      </c>
      <c r="DA5" s="27">
        <f xml:space="preserve"> CD5 * CJ5</f>
        <v>94493.323177838422</v>
      </c>
      <c r="DB5" s="95">
        <f xml:space="preserve"> CF5 * CJ5</f>
        <v>524056922172.57654</v>
      </c>
      <c r="DC5" s="117"/>
      <c r="DD5" s="34">
        <f xml:space="preserve"> 1 - CH5</f>
        <v>0.88480000000000003</v>
      </c>
      <c r="DE5" s="34">
        <f xml:space="preserve"> 1-CI5</f>
        <v>0.94579999999999997</v>
      </c>
      <c r="DF5">
        <f xml:space="preserve"> 1 - CJ5</f>
        <v>0.97699999999999998</v>
      </c>
      <c r="DG5" s="47">
        <f xml:space="preserve"> BJ5 * DD5</f>
        <v>28142.841743983659</v>
      </c>
      <c r="DH5" s="27">
        <f xml:space="preserve"> BJ5 * DE5</f>
        <v>30083.069305447269</v>
      </c>
      <c r="DI5" s="27">
        <f xml:space="preserve"> BJ5 * DF5</f>
        <v>31075.447992622099</v>
      </c>
      <c r="DJ5" s="27">
        <f xml:space="preserve"> BL5 * DD5</f>
        <v>25823988846.120003</v>
      </c>
      <c r="DK5" s="27">
        <f xml:space="preserve"> BL5 * DE5</f>
        <v>27604349740.800514</v>
      </c>
      <c r="DL5" s="27">
        <f xml:space="preserve"> BL5 * DF5</f>
        <v>28514960559.063335</v>
      </c>
      <c r="DM5" s="47">
        <f xml:space="preserve"> BT5 * DD5</f>
        <v>1845699.5259643416</v>
      </c>
      <c r="DN5" s="27">
        <f xml:space="preserve"> BT5 * DE5</f>
        <v>1972945.9896666752</v>
      </c>
      <c r="DO5" s="27">
        <f xml:space="preserve"> BT5 * DF5</f>
        <v>2038029.4268390164</v>
      </c>
      <c r="DP5" s="95">
        <f xml:space="preserve"> BV5 * DD5</f>
        <v>10093034432767.713</v>
      </c>
      <c r="DQ5" s="95">
        <f xml:space="preserve"> BV5 * DE5</f>
        <v>10788869763236.553</v>
      </c>
      <c r="DR5" s="95">
        <f xml:space="preserve"> BV5 * DF5</f>
        <v>11144772424066.518</v>
      </c>
      <c r="DS5" s="47">
        <f xml:space="preserve"> CD5 * DD5</f>
        <v>3635117.0585978888</v>
      </c>
      <c r="DT5" s="27">
        <f xml:space="preserve"> CD5 * DE5</f>
        <v>3885729.7852869383</v>
      </c>
      <c r="DU5" s="27">
        <f xml:space="preserve"> CD5 * DF5</f>
        <v>4013912.0323803537</v>
      </c>
      <c r="DV5" s="95">
        <f xml:space="preserve"> CF5 * DD5</f>
        <v>20160241945143.293</v>
      </c>
      <c r="DW5" s="95">
        <f xml:space="preserve"> CF5 * DE5</f>
        <v>21550132043079.254</v>
      </c>
      <c r="DX5" s="95">
        <f xml:space="preserve"> CF5 * DF5</f>
        <v>22261026650548.141</v>
      </c>
      <c r="DY5" s="121"/>
      <c r="DZ5">
        <f xml:space="preserve"> 1 - 0.32</f>
        <v>0.67999999999999994</v>
      </c>
      <c r="EA5">
        <f>1-0.68</f>
        <v>0.31999999999999995</v>
      </c>
      <c r="EB5" s="27">
        <f xml:space="preserve"> DG5 * DZ5</f>
        <v>19137.132385908888</v>
      </c>
      <c r="EC5" s="27">
        <f xml:space="preserve"> DG5 * EA5</f>
        <v>9005.7093580747696</v>
      </c>
      <c r="ED5" s="27">
        <f xml:space="preserve"> DH5 * DZ5</f>
        <v>20456.487127704142</v>
      </c>
      <c r="EE5" s="27">
        <f xml:space="preserve"> DH5 * EA5</f>
        <v>9626.5821777431247</v>
      </c>
      <c r="EF5" s="27">
        <f xml:space="preserve"> DI5 * DZ5</f>
        <v>21131.304634983026</v>
      </c>
      <c r="EG5" s="27">
        <f xml:space="preserve"> DI5 * EA5</f>
        <v>9944.14335763907</v>
      </c>
      <c r="EH5">
        <f xml:space="preserve"> DJ5 * DZ5</f>
        <v>17560312415.361599</v>
      </c>
      <c r="EI5">
        <f xml:space="preserve"> DJ5 * EA5</f>
        <v>8263676430.7584</v>
      </c>
      <c r="EJ5">
        <f xml:space="preserve"> DK5 * DZ5</f>
        <v>18770957823.744347</v>
      </c>
      <c r="EK5">
        <f xml:space="preserve"> DK5 * EA5</f>
        <v>8833391917.0561638</v>
      </c>
      <c r="EL5">
        <f xml:space="preserve"> DL5 * DZ5</f>
        <v>19390173180.163067</v>
      </c>
      <c r="EM5">
        <f xml:space="preserve"> DL5 * EA5</f>
        <v>9124787378.9002666</v>
      </c>
      <c r="EN5">
        <f xml:space="preserve"> DM5 * DZ5</f>
        <v>1255075.6776557523</v>
      </c>
      <c r="EO5">
        <f xml:space="preserve"> DM5 * EA5</f>
        <v>590623.84830858919</v>
      </c>
      <c r="EP5">
        <f xml:space="preserve"> DN5 * DZ5</f>
        <v>1341603.2729733391</v>
      </c>
      <c r="EQ5">
        <f xml:space="preserve"> DN5 * EA5</f>
        <v>631342.71669333603</v>
      </c>
      <c r="ER5">
        <f xml:space="preserve"> DO5 * DZ5</f>
        <v>1385860.0102505309</v>
      </c>
      <c r="ES5">
        <f xml:space="preserve"> DO5 * EA5</f>
        <v>652169.41658848512</v>
      </c>
      <c r="ET5">
        <f xml:space="preserve"> DP5 * DZ5</f>
        <v>6863263414282.0439</v>
      </c>
      <c r="EU5">
        <f xml:space="preserve"> DP5 * EA5</f>
        <v>3229771018485.6675</v>
      </c>
      <c r="EV5">
        <f xml:space="preserve"> DQ5 * DZ5</f>
        <v>7336431439000.8555</v>
      </c>
      <c r="EW5">
        <f xml:space="preserve"> DQ5 * EA5</f>
        <v>3452438324235.6963</v>
      </c>
      <c r="EX5">
        <f>DR5 * DZ5</f>
        <v>7578445248365.2314</v>
      </c>
      <c r="EY5">
        <f>DR5 * EA5</f>
        <v>3566327175701.2852</v>
      </c>
      <c r="EZ5">
        <f xml:space="preserve"> DS5 * DZ5</f>
        <v>2471879.5998465642</v>
      </c>
      <c r="FA5">
        <f xml:space="preserve"> DS5 * EA5</f>
        <v>1163237.4587513243</v>
      </c>
      <c r="FB5">
        <f xml:space="preserve"> DT5 * DZ5</f>
        <v>2642296.2539951177</v>
      </c>
      <c r="FC5">
        <f xml:space="preserve"> DT5 * EA5</f>
        <v>1243433.5312918201</v>
      </c>
      <c r="FD5">
        <f xml:space="preserve"> DU5 * DZ5</f>
        <v>2729460.1820186405</v>
      </c>
      <c r="FE5">
        <f xml:space="preserve"> DU5 * EA5</f>
        <v>1284451.850361713</v>
      </c>
      <c r="FF5">
        <f xml:space="preserve"> DV5 * DZ5</f>
        <v>13708964522697.438</v>
      </c>
      <c r="FG5">
        <f xml:space="preserve"> DV5 * EA5</f>
        <v>6451277422445.8525</v>
      </c>
      <c r="FH5">
        <f xml:space="preserve"> DW5 * DZ5</f>
        <v>14654089789293.891</v>
      </c>
      <c r="FI5">
        <f xml:space="preserve"> DW5 * EA5</f>
        <v>6896042253785.3604</v>
      </c>
      <c r="FJ5">
        <f xml:space="preserve"> DX5 * DZ5</f>
        <v>15137498122372.734</v>
      </c>
      <c r="FK5">
        <f xml:space="preserve"> DX5 * EA5</f>
        <v>7123528528175.4043</v>
      </c>
      <c r="FL5" s="121"/>
      <c r="FM5">
        <f xml:space="preserve"> 1 - 0.01</f>
        <v>0.99</v>
      </c>
      <c r="FN5">
        <v>0.73</v>
      </c>
      <c r="FO5" s="27">
        <f xml:space="preserve"> EB5 * FM5</f>
        <v>18945.761062049798</v>
      </c>
      <c r="FP5" s="27">
        <f xml:space="preserve"> ED5 * FM5</f>
        <v>20251.9222564271</v>
      </c>
      <c r="FQ5" s="27">
        <f xml:space="preserve"> EF5 * FM5</f>
        <v>20919.991588633195</v>
      </c>
      <c r="FR5" s="27">
        <f xml:space="preserve"> EN5 * FM5</f>
        <v>1242524.9208791947</v>
      </c>
      <c r="FS5" s="27">
        <f xml:space="preserve"> EP5 * FM5</f>
        <v>1328187.2402436056</v>
      </c>
      <c r="FT5" s="27">
        <f xml:space="preserve"> ER5 * FM5</f>
        <v>1372001.4101480255</v>
      </c>
      <c r="FU5" s="27">
        <f xml:space="preserve"> EZ5 * FM5</f>
        <v>2447160.8038480985</v>
      </c>
      <c r="FV5" s="27">
        <f xml:space="preserve"> FB5 * FM5</f>
        <v>2615873.2914551664</v>
      </c>
      <c r="FW5" s="27">
        <f xml:space="preserve"> FD5 * FM5</f>
        <v>2702165.5801984542</v>
      </c>
      <c r="FX5" s="27">
        <f xml:space="preserve"> EH5 * FM5</f>
        <v>17384709291.207981</v>
      </c>
      <c r="FY5" s="27">
        <f xml:space="preserve"> EJ5 * FM5</f>
        <v>18583248245.506905</v>
      </c>
      <c r="FZ5" s="27">
        <f xml:space="preserve"> EL5 * FM5</f>
        <v>19196271448.361435</v>
      </c>
      <c r="GA5" s="177">
        <f xml:space="preserve"> ET5 * FM5</f>
        <v>6794630780139.2236</v>
      </c>
      <c r="GB5" s="177">
        <f xml:space="preserve"> EV5 * FM5</f>
        <v>7263067124610.8467</v>
      </c>
      <c r="GC5" s="177">
        <f xml:space="preserve"> EX5 * FM5</f>
        <v>7502660795881.5791</v>
      </c>
      <c r="GD5" s="177">
        <f xml:space="preserve"> FF5 * FM5</f>
        <v>13571874877470.463</v>
      </c>
      <c r="GE5" s="177">
        <f xml:space="preserve"> FH5 * FM5</f>
        <v>14507548891400.951</v>
      </c>
      <c r="GF5" s="177">
        <f xml:space="preserve"> FJ5 * FM5</f>
        <v>14986123141149.008</v>
      </c>
      <c r="GG5" s="27">
        <f xml:space="preserve"> EB5 * FN5</f>
        <v>13970.106641713488</v>
      </c>
      <c r="GH5" s="27">
        <f xml:space="preserve"> ED5 * FN5</f>
        <v>14933.235603224024</v>
      </c>
      <c r="GI5" s="27">
        <f xml:space="preserve"> EF5 * FN5</f>
        <v>15425.852383537609</v>
      </c>
      <c r="GJ5" s="27">
        <f xml:space="preserve"> EN5 * FN5</f>
        <v>916205.24468869914</v>
      </c>
      <c r="GK5" s="27">
        <f xml:space="preserve"> EP5 * FN5</f>
        <v>979370.38927053753</v>
      </c>
      <c r="GL5" s="27">
        <f xml:space="preserve"> ER5 * FN5</f>
        <v>1011677.8074828875</v>
      </c>
      <c r="GM5" s="27">
        <f xml:space="preserve"> EZ5 * FN5</f>
        <v>1804472.1078879919</v>
      </c>
      <c r="GN5" s="27">
        <f xml:space="preserve"> FB5 * FN5</f>
        <v>1928876.2654164359</v>
      </c>
      <c r="GO5" s="27">
        <f xml:space="preserve"> FD5 * FN5</f>
        <v>1992505.9328736074</v>
      </c>
      <c r="GP5" s="27">
        <f xml:space="preserve"> EH5 * FN5</f>
        <v>12819028063.213966</v>
      </c>
      <c r="GQ5" s="27">
        <f xml:space="preserve"> EJ5 * FN5</f>
        <v>13702799211.333372</v>
      </c>
      <c r="GR5" s="27">
        <f xml:space="preserve"> EL5 * FN5</f>
        <v>14154826421.519039</v>
      </c>
      <c r="GS5" s="177">
        <f xml:space="preserve"> ET5 * FN5</f>
        <v>5010182292425.8916</v>
      </c>
      <c r="GT5" s="177">
        <f xml:space="preserve"> EV5 * FN5</f>
        <v>5355594950470.624</v>
      </c>
      <c r="GU5" s="177">
        <f xml:space="preserve"> EX5 * FN5</f>
        <v>5532265031306.6191</v>
      </c>
      <c r="GV5" s="177">
        <f xml:space="preserve"> FF5 * FN5</f>
        <v>10007544101569.129</v>
      </c>
      <c r="GW5" s="177">
        <f xml:space="preserve"> FH5 * FN5</f>
        <v>10697485546184.539</v>
      </c>
      <c r="GX5" s="177">
        <f>FJ5 * FN5</f>
        <v>11050373629332.096</v>
      </c>
      <c r="GY5" s="121"/>
      <c r="GZ5" s="27">
        <f xml:space="preserve"> AM5 + BI5 + CK5</f>
        <v>3908.6209324963443</v>
      </c>
      <c r="HA5" s="27">
        <f xml:space="preserve"> AM5 + BI5 + CM5</f>
        <v>1968.3933710327328</v>
      </c>
      <c r="HB5" s="27">
        <f xml:space="preserve"> AM5 + BI5 + CN5</f>
        <v>1581894678.7433727</v>
      </c>
      <c r="HC5" s="47">
        <f xml:space="preserve"> AN5 + BM5 + CQ5</f>
        <v>247277.70986253163</v>
      </c>
      <c r="HD5" s="27">
        <f xml:space="preserve"> AN5 + BM5 + CS5</f>
        <v>120031.24616019794</v>
      </c>
      <c r="HE5" s="42">
        <f xml:space="preserve"> AN5 + BM5 + CU5</f>
        <v>54947.808987856792</v>
      </c>
      <c r="HF5" s="54">
        <f xml:space="preserve"> AO5 + CC5 + CW5</f>
        <v>504863.53711411101</v>
      </c>
      <c r="HG5" s="42">
        <f xml:space="preserve"> AO5 + CC5 + CY5</f>
        <v>254250.81042506133</v>
      </c>
      <c r="HH5" s="42">
        <f xml:space="preserve"> AO5 + CC5 + DA5</f>
        <v>126068.56333164572</v>
      </c>
      <c r="HI5" s="27">
        <f xml:space="preserve"> AS5 + BF5 + CL5</f>
        <v>3392732290.3793139</v>
      </c>
      <c r="HJ5" s="27">
        <f xml:space="preserve"> AS5 + BF5 + CN5</f>
        <v>1612371395.6987989</v>
      </c>
      <c r="HK5" s="27">
        <f xml:space="preserve"> AS5 + BF5 + CP5</f>
        <v>701760577.43597806</v>
      </c>
      <c r="HL5" s="184">
        <f xml:space="preserve"> AT5 + BU5 + CR5</f>
        <v>1375570742811.5457</v>
      </c>
      <c r="HM5" s="95">
        <f xml:space="preserve"> AT5 + BU5 + CT5</f>
        <v>679735412342.70459</v>
      </c>
      <c r="HN5" s="185">
        <f xml:space="preserve"> AT5 + BU5 + CV5</f>
        <v>323832751512.74017</v>
      </c>
      <c r="HO5" s="189">
        <f xml:space="preserve"> AU5 + CE5 + CX5</f>
        <v>2747621557468.1846</v>
      </c>
      <c r="HP5" s="185">
        <f xml:space="preserve"> AU5 + CE5 + CZ5</f>
        <v>1357731459532.2207</v>
      </c>
      <c r="HQ5" s="185">
        <f xml:space="preserve"> AU5 + CE5 + DB5</f>
        <v>646836852063.33435</v>
      </c>
      <c r="HR5" s="121"/>
      <c r="HS5" s="177">
        <f xml:space="preserve"> GG5 + GZ5</f>
        <v>17878.727574209832</v>
      </c>
      <c r="HT5" s="177">
        <f xml:space="preserve"> GH5 + HA5</f>
        <v>16901.628974256757</v>
      </c>
      <c r="HU5" s="177">
        <f xml:space="preserve"> GI5 + HB5</f>
        <v>1581910104.5957563</v>
      </c>
      <c r="HV5" s="211">
        <f xml:space="preserve"> HC5 + GJ5</f>
        <v>1163482.9545512307</v>
      </c>
      <c r="HW5" s="177">
        <f xml:space="preserve"> HD5 + GK5</f>
        <v>1099401.6354307355</v>
      </c>
      <c r="HX5" s="212">
        <f xml:space="preserve"> HE5 + GL5</f>
        <v>1066625.6164707444</v>
      </c>
      <c r="HY5" s="213">
        <f xml:space="preserve"> GM5 + HF5</f>
        <v>2309335.6450021029</v>
      </c>
      <c r="HZ5" s="212">
        <f xml:space="preserve"> GN5 + HG5</f>
        <v>2183127.0758414972</v>
      </c>
      <c r="IA5" s="219">
        <f xml:space="preserve"> GO5 + HH5</f>
        <v>2118574.4962052531</v>
      </c>
      <c r="IB5" s="177">
        <f>GP5 + GZ5</f>
        <v>12819031971.834898</v>
      </c>
      <c r="IC5" s="177">
        <f xml:space="preserve"> GQ5 + HA5</f>
        <v>13702801179.726744</v>
      </c>
      <c r="ID5" s="177">
        <f xml:space="preserve"> GR5 + HB5</f>
        <v>15736721100.262411</v>
      </c>
      <c r="IE5" s="211">
        <f xml:space="preserve"> GS5 + HC5</f>
        <v>5010182539703.6016</v>
      </c>
      <c r="IF5" s="177">
        <f xml:space="preserve">  GT5 + HD5</f>
        <v>5355595070501.8701</v>
      </c>
      <c r="IG5" s="212">
        <f xml:space="preserve"> GU5 + HE5</f>
        <v>5532265086254.4277</v>
      </c>
      <c r="IH5" s="213">
        <f xml:space="preserve"> GV5 + HF5</f>
        <v>10007544606432.666</v>
      </c>
      <c r="II5" s="212">
        <f xml:space="preserve"> GW5 + HG5</f>
        <v>10697485800435.35</v>
      </c>
      <c r="IJ5" s="219">
        <f xml:space="preserve"> GX5 + HH5</f>
        <v>11050373755400.658</v>
      </c>
      <c r="IK5" s="177">
        <f t="shared" ref="IK5:IS5" si="0" xml:space="preserve"> FO5 + GZ5</f>
        <v>22854.381994546144</v>
      </c>
      <c r="IL5" s="177">
        <f t="shared" si="0"/>
        <v>22220.315627459833</v>
      </c>
      <c r="IM5" s="177">
        <f t="shared" si="0"/>
        <v>1581915598.7349613</v>
      </c>
      <c r="IN5" s="211">
        <f t="shared" si="0"/>
        <v>1489802.6307417264</v>
      </c>
      <c r="IO5" s="177">
        <f t="shared" si="0"/>
        <v>1448218.4864038036</v>
      </c>
      <c r="IP5" s="212">
        <f t="shared" si="0"/>
        <v>1426949.2191358823</v>
      </c>
      <c r="IQ5" s="213">
        <f t="shared" si="0"/>
        <v>2952024.3409622097</v>
      </c>
      <c r="IR5" s="212">
        <f t="shared" si="0"/>
        <v>2870124.1018802277</v>
      </c>
      <c r="IS5" s="212">
        <f t="shared" si="0"/>
        <v>2828234.1435301001</v>
      </c>
      <c r="IT5" s="177">
        <f t="shared" ref="IT5:JB5" si="1" xml:space="preserve"> GP5 + HI5</f>
        <v>16211760353.593281</v>
      </c>
      <c r="IU5" s="177">
        <f t="shared" si="1"/>
        <v>15315170607.032171</v>
      </c>
      <c r="IV5" s="177">
        <f t="shared" si="1"/>
        <v>14856586998.955017</v>
      </c>
      <c r="IW5" s="211">
        <f t="shared" si="1"/>
        <v>6385753035237.4375</v>
      </c>
      <c r="IX5" s="177">
        <f t="shared" si="1"/>
        <v>6035330362813.3281</v>
      </c>
      <c r="IY5" s="212">
        <f t="shared" si="1"/>
        <v>5856097782819.3594</v>
      </c>
      <c r="IZ5" s="213">
        <f t="shared" si="1"/>
        <v>12755165659037.312</v>
      </c>
      <c r="JA5" s="212">
        <f t="shared" si="1"/>
        <v>12055217005716.76</v>
      </c>
      <c r="JB5" s="212">
        <f t="shared" si="1"/>
        <v>11697210481395.43</v>
      </c>
    </row>
    <row r="6" spans="1:262" x14ac:dyDescent="0.2">
      <c r="A6" s="3" t="s">
        <v>8</v>
      </c>
      <c r="B6">
        <v>1128</v>
      </c>
      <c r="C6">
        <v>41</v>
      </c>
      <c r="D6">
        <v>2.71</v>
      </c>
      <c r="E6">
        <v>0.65</v>
      </c>
      <c r="F6" t="s">
        <v>13</v>
      </c>
      <c r="G6" t="s">
        <v>11</v>
      </c>
      <c r="H6" s="20"/>
      <c r="I6" s="21"/>
      <c r="J6">
        <v>798</v>
      </c>
      <c r="K6" s="94">
        <f t="shared" ref="K6:K22" si="2" xml:space="preserve"> 0.0096 * 6 * 110.16</f>
        <v>6.3452159999999997</v>
      </c>
      <c r="L6" s="94">
        <v>416.14</v>
      </c>
      <c r="M6" s="94">
        <f t="shared" ref="M6:M22" si="3" xml:space="preserve"> 1.24 * 6 * 110.16</f>
        <v>819.59039999999993</v>
      </c>
      <c r="N6" s="95">
        <f t="shared" ref="N6:N22" si="4" xml:space="preserve"> 8809 * 6 * 110.16</f>
        <v>5822396.6399999997</v>
      </c>
      <c r="O6" s="96">
        <f t="shared" ref="O6:O22" si="5">3442905*6*110.16</f>
        <v>2275622488.7999997</v>
      </c>
      <c r="P6" s="95">
        <f t="shared" ref="P6:P22" si="6" xml:space="preserve"> 6877000 * 6 *110.16</f>
        <v>4545421920</v>
      </c>
      <c r="Q6">
        <v>0.65</v>
      </c>
      <c r="R6" s="27">
        <f t="shared" ref="R6:R22" si="7" xml:space="preserve"> J6 * K6 * Q6</f>
        <v>3291.2635392000002</v>
      </c>
      <c r="S6" s="27">
        <f t="shared" ref="S6:S22" si="8" xml:space="preserve"> J6 * L6 * Q6</f>
        <v>215851.818</v>
      </c>
      <c r="T6" s="27">
        <f t="shared" ref="T6:T22" si="9" xml:space="preserve"> J6 * M6 * Q6</f>
        <v>425121.54048000003</v>
      </c>
      <c r="U6">
        <f t="shared" ref="U6:U22" si="10" xml:space="preserve"> J6 * N6 * Q6</f>
        <v>3020077137.1679997</v>
      </c>
      <c r="V6" s="27">
        <f t="shared" ref="V6:V22" si="11" xml:space="preserve"> J6 * O6 * Q6</f>
        <v>1180365384940.5598</v>
      </c>
      <c r="W6" s="27">
        <f t="shared" ref="W6:W22" si="12" xml:space="preserve"> J6 * P6 * Q6</f>
        <v>2357710349904</v>
      </c>
      <c r="X6" s="18"/>
      <c r="Y6">
        <v>2.3999999999999998E-3</v>
      </c>
      <c r="Z6">
        <v>0.99760000000000004</v>
      </c>
      <c r="AA6" s="94">
        <f t="shared" ref="AA6:AA22" si="13" xml:space="preserve"> R6 * Y6</f>
        <v>7.8990324940800001</v>
      </c>
      <c r="AB6" s="94">
        <f t="shared" ref="AB6:AB22" si="14" xml:space="preserve"> S6 * Y6</f>
        <v>518.04436319999991</v>
      </c>
      <c r="AC6" s="94">
        <f t="shared" ref="AC6:AC22" si="15" xml:space="preserve"> T6 * Y6</f>
        <v>1020.291697152</v>
      </c>
      <c r="AD6">
        <f t="shared" ref="AD6:AD22" si="16" xml:space="preserve"> U6 * Y6</f>
        <v>7248185.1292031985</v>
      </c>
      <c r="AE6" s="27">
        <f>V6 * Y6</f>
        <v>2832876923.8573432</v>
      </c>
      <c r="AF6" s="27">
        <f t="shared" ref="AF6:AF22" si="17" xml:space="preserve"> W6 * Y6</f>
        <v>5658504839.7695999</v>
      </c>
      <c r="AG6" s="94">
        <f t="shared" ref="AG6:AG22" si="18" xml:space="preserve"> R6 * Z6</f>
        <v>3283.3645067059201</v>
      </c>
      <c r="AH6" s="94">
        <f t="shared" ref="AH6:AH22" si="19" xml:space="preserve"> S6 * Z6</f>
        <v>215333.7736368</v>
      </c>
      <c r="AI6" s="94">
        <f t="shared" ref="AI6:AI22" si="20" xml:space="preserve"> T6 * Z6</f>
        <v>424101.24878284807</v>
      </c>
      <c r="AJ6" s="27">
        <f t="shared" ref="AJ6:AJ22" si="21" xml:space="preserve"> U6 * Z6</f>
        <v>3012828952.0387969</v>
      </c>
      <c r="AK6" s="95">
        <f t="shared" ref="AK6:AK22" si="22" xml:space="preserve"> V6 * Z6</f>
        <v>1177532508016.7026</v>
      </c>
      <c r="AL6" s="27">
        <f t="shared" ref="AL6:AL22" si="23" xml:space="preserve"> W6 * Z6</f>
        <v>2352051845064.2305</v>
      </c>
      <c r="AM6" s="27"/>
      <c r="AN6" s="27"/>
      <c r="AO6" s="27"/>
      <c r="AP6" s="27"/>
      <c r="AQ6" s="27"/>
      <c r="AR6" s="27"/>
      <c r="AS6" s="1"/>
      <c r="AT6" s="152"/>
      <c r="AU6" s="152"/>
      <c r="AV6" s="152"/>
      <c r="AW6" s="152"/>
      <c r="AX6" s="152"/>
      <c r="AY6" s="18"/>
      <c r="AZ6">
        <v>0</v>
      </c>
      <c r="BA6" s="34">
        <f t="shared" ref="BA6:BA22" si="24" xml:space="preserve"> AZ6 / 8760</f>
        <v>0</v>
      </c>
      <c r="BB6" s="34">
        <f t="shared" ref="BB6:BB22" si="25" xml:space="preserve"> 1 - BA6</f>
        <v>1</v>
      </c>
      <c r="BC6" s="94">
        <f t="shared" ref="BC6:BC22" si="26" xml:space="preserve"> AG6 * BA6</f>
        <v>0</v>
      </c>
      <c r="BD6" s="94">
        <f t="shared" ref="BD6:BD22" si="27" xml:space="preserve"> BC6 /2</f>
        <v>0</v>
      </c>
      <c r="BE6" s="94">
        <f t="shared" ref="BE6:BE22" si="28" xml:space="preserve"> AG6 * BB6 + BD6</f>
        <v>3283.3645067059201</v>
      </c>
      <c r="BF6">
        <f t="shared" ref="BF6:BF22" si="29" xml:space="preserve"> AJ6 * BA6</f>
        <v>0</v>
      </c>
      <c r="BG6">
        <f t="shared" ref="BG6:BG22" si="30" xml:space="preserve"> BF6 / 2</f>
        <v>0</v>
      </c>
      <c r="BH6">
        <f t="shared" ref="BH6:BH22" si="31" xml:space="preserve"> AJ6 * BB6 + BG6</f>
        <v>3012828952.0387969</v>
      </c>
      <c r="BI6" s="27"/>
      <c r="BJ6" s="27"/>
      <c r="BM6" s="94">
        <f t="shared" ref="BM6:BM22" si="32" xml:space="preserve"> AH6 * BA6</f>
        <v>0</v>
      </c>
      <c r="BN6" s="94">
        <f t="shared" ref="BN6:BN22" si="33" xml:space="preserve"> BM6 / 2</f>
        <v>0</v>
      </c>
      <c r="BO6" s="94">
        <f t="shared" ref="BO6:BO22" si="34" xml:space="preserve"> AH6 * BB6 + BN6</f>
        <v>215333.7736368</v>
      </c>
      <c r="BP6" s="95">
        <f t="shared" ref="BP6:BP22" si="35" xml:space="preserve"> AK6 * BA6</f>
        <v>0</v>
      </c>
      <c r="BQ6" s="95">
        <f t="shared" ref="BQ6:BQ22" si="36" xml:space="preserve"> BP6 / 2</f>
        <v>0</v>
      </c>
      <c r="BR6" s="95">
        <f t="shared" ref="BR6:BR22" si="37" xml:space="preserve"> AK6 * BB6 + BQ6</f>
        <v>1177532508016.7026</v>
      </c>
      <c r="BW6" s="94">
        <f t="shared" ref="BW6:BW22" si="38" xml:space="preserve"> AI6 * BA6</f>
        <v>0</v>
      </c>
      <c r="BX6" s="94">
        <f t="shared" ref="BX6:BX22" si="39" xml:space="preserve"> BW6 / 2</f>
        <v>0</v>
      </c>
      <c r="BY6" s="94">
        <f t="shared" ref="BY6:BY22" si="40" xml:space="preserve"> AI6 * BB6 + BX6</f>
        <v>424101.24878284807</v>
      </c>
      <c r="BZ6" s="95">
        <f t="shared" ref="BZ6:BZ22" si="41" xml:space="preserve"> AL6 * BA6</f>
        <v>0</v>
      </c>
      <c r="CA6" s="95">
        <f t="shared" ref="CA6:CA22" si="42" xml:space="preserve"> BZ6 / 2</f>
        <v>0</v>
      </c>
      <c r="CB6" s="95">
        <f t="shared" ref="CB6:CB22" si="43" xml:space="preserve"> AL6 * BB6 + CA6</f>
        <v>2352051845064.2305</v>
      </c>
      <c r="CG6" s="18"/>
      <c r="CK6" s="3"/>
      <c r="CN6" s="95"/>
      <c r="CQ6" s="3"/>
      <c r="CR6" s="95"/>
      <c r="CT6" s="95"/>
      <c r="CV6" s="95"/>
      <c r="CW6" s="3"/>
      <c r="CX6" s="95"/>
      <c r="CZ6" s="95"/>
      <c r="DB6" s="95"/>
      <c r="DC6" s="117"/>
      <c r="DG6" s="3"/>
      <c r="DM6" s="3"/>
      <c r="DR6" s="95"/>
      <c r="DS6" s="3"/>
      <c r="DV6" s="95"/>
      <c r="DW6" s="95"/>
      <c r="DX6" s="95"/>
      <c r="DY6" s="121"/>
      <c r="ED6" s="27"/>
      <c r="EE6" s="27"/>
      <c r="EF6" s="27"/>
      <c r="EG6" s="27"/>
      <c r="FL6" s="121"/>
      <c r="FO6" s="27"/>
      <c r="FP6" s="27"/>
      <c r="FQ6" s="27"/>
      <c r="FR6" s="27"/>
      <c r="FS6" s="27"/>
      <c r="FT6" s="27"/>
      <c r="FU6" s="27"/>
      <c r="FV6" s="27"/>
      <c r="FW6" s="27"/>
      <c r="FX6" s="27"/>
      <c r="FY6" s="27"/>
      <c r="FZ6" s="27"/>
      <c r="GA6" s="177"/>
      <c r="GB6" s="177"/>
      <c r="GC6" s="177"/>
      <c r="GD6" s="177"/>
      <c r="GE6" s="177"/>
      <c r="GF6" s="177"/>
      <c r="GG6" s="177"/>
      <c r="GH6" s="27"/>
      <c r="GI6" s="27"/>
      <c r="GJ6" s="27"/>
      <c r="GK6" s="27"/>
      <c r="GL6" s="27"/>
      <c r="GM6" s="27"/>
      <c r="GN6" s="27"/>
      <c r="GO6" s="27"/>
      <c r="GP6" s="27"/>
      <c r="GQ6" s="27"/>
      <c r="GR6" s="27"/>
      <c r="GS6" s="177"/>
      <c r="GT6" s="177"/>
      <c r="GU6" s="177"/>
      <c r="GV6" s="177"/>
      <c r="GW6" s="177"/>
      <c r="GX6" s="177"/>
      <c r="GY6" s="121"/>
      <c r="HC6" s="3"/>
      <c r="HE6" s="38"/>
      <c r="HF6" s="55"/>
      <c r="HG6" s="38"/>
      <c r="HH6" s="38"/>
      <c r="HL6" s="184"/>
      <c r="HM6" s="95"/>
      <c r="HN6" s="185"/>
      <c r="HO6" s="189"/>
      <c r="HP6" s="185"/>
      <c r="HQ6" s="185"/>
      <c r="HR6" s="121"/>
      <c r="HV6" s="211"/>
      <c r="HX6" s="212"/>
      <c r="HY6" s="213"/>
      <c r="HZ6" s="212"/>
      <c r="IA6" s="219"/>
      <c r="IE6" s="211"/>
      <c r="IG6" s="212"/>
      <c r="IH6" s="213"/>
      <c r="II6" s="212"/>
      <c r="IJ6" s="219"/>
      <c r="IN6" s="211"/>
      <c r="IP6" s="212"/>
      <c r="IQ6" s="213"/>
      <c r="IR6" s="212"/>
      <c r="IS6" s="212"/>
      <c r="IW6" s="211"/>
      <c r="IY6" s="212"/>
      <c r="IZ6" s="213"/>
      <c r="JA6" s="212"/>
      <c r="JB6" s="212"/>
    </row>
    <row r="7" spans="1:262" x14ac:dyDescent="0.2">
      <c r="A7" s="3" t="s">
        <v>10</v>
      </c>
      <c r="B7">
        <v>1869</v>
      </c>
      <c r="C7">
        <v>704</v>
      </c>
      <c r="D7">
        <v>2.25</v>
      </c>
      <c r="F7" t="s">
        <v>14</v>
      </c>
      <c r="G7" t="s">
        <v>125</v>
      </c>
      <c r="H7" s="20"/>
      <c r="I7" s="21"/>
      <c r="J7">
        <v>704</v>
      </c>
      <c r="K7" s="94">
        <f t="shared" si="2"/>
        <v>6.3452159999999997</v>
      </c>
      <c r="L7" s="94">
        <v>416.14</v>
      </c>
      <c r="M7" s="94">
        <f t="shared" si="3"/>
        <v>819.59039999999993</v>
      </c>
      <c r="N7" s="95">
        <f t="shared" si="4"/>
        <v>5822396.6399999997</v>
      </c>
      <c r="O7" s="96">
        <f t="shared" si="5"/>
        <v>2275622488.7999997</v>
      </c>
      <c r="P7" s="95">
        <f t="shared" si="6"/>
        <v>4545421920</v>
      </c>
      <c r="Q7">
        <v>2.25</v>
      </c>
      <c r="R7" s="27">
        <f t="shared" si="7"/>
        <v>10050.822144</v>
      </c>
      <c r="S7" s="27">
        <f t="shared" si="8"/>
        <v>659165.76</v>
      </c>
      <c r="T7" s="27">
        <f t="shared" si="9"/>
        <v>1298231.1935999999</v>
      </c>
      <c r="U7">
        <f t="shared" si="10"/>
        <v>9222676277.7600002</v>
      </c>
      <c r="V7" s="27">
        <f t="shared" si="11"/>
        <v>3604586022259.1992</v>
      </c>
      <c r="W7" s="27">
        <f t="shared" si="12"/>
        <v>7199948321280</v>
      </c>
      <c r="X7" s="18"/>
      <c r="Y7">
        <v>2.3999999999999998E-3</v>
      </c>
      <c r="Z7">
        <v>0.99760000000000004</v>
      </c>
      <c r="AA7" s="94">
        <f t="shared" si="13"/>
        <v>24.121973145599998</v>
      </c>
      <c r="AB7" s="94">
        <f t="shared" si="14"/>
        <v>1581.9978239999998</v>
      </c>
      <c r="AC7" s="94">
        <f t="shared" si="15"/>
        <v>3115.7548646399996</v>
      </c>
      <c r="AD7">
        <f t="shared" si="16"/>
        <v>22134423.066623997</v>
      </c>
      <c r="AE7" s="27">
        <f t="shared" ref="AE7:AE22" si="44">V7 * Y7</f>
        <v>8651006453.4220772</v>
      </c>
      <c r="AF7" s="27">
        <f t="shared" si="17"/>
        <v>17279875971.071999</v>
      </c>
      <c r="AG7" s="94">
        <f t="shared" si="18"/>
        <v>10026.700170854399</v>
      </c>
      <c r="AH7" s="94">
        <f t="shared" si="19"/>
        <v>657583.76217600005</v>
      </c>
      <c r="AI7" s="94">
        <f t="shared" si="20"/>
        <v>1295115.43873536</v>
      </c>
      <c r="AJ7" s="27">
        <f t="shared" si="21"/>
        <v>9200541854.6933765</v>
      </c>
      <c r="AK7" s="95">
        <f t="shared" si="22"/>
        <v>3595935015805.7773</v>
      </c>
      <c r="AL7" s="27">
        <f t="shared" si="23"/>
        <v>7182668445308.9287</v>
      </c>
      <c r="AM7" s="27"/>
      <c r="AN7" s="27"/>
      <c r="AO7" s="27"/>
      <c r="AP7" s="27"/>
      <c r="AQ7" s="27"/>
      <c r="AR7" s="27"/>
      <c r="AS7" s="1"/>
      <c r="AT7" s="152"/>
      <c r="AU7" s="152"/>
      <c r="AV7" s="152"/>
      <c r="AW7" s="152"/>
      <c r="AX7" s="152"/>
      <c r="AY7" s="18"/>
      <c r="AZ7">
        <v>4</v>
      </c>
      <c r="BA7" s="34">
        <f t="shared" si="24"/>
        <v>4.5662100456621003E-4</v>
      </c>
      <c r="BB7" s="34">
        <f t="shared" si="25"/>
        <v>0.99954337899543377</v>
      </c>
      <c r="BC7" s="94">
        <f t="shared" si="26"/>
        <v>4.5784019044997253</v>
      </c>
      <c r="BD7" s="94">
        <f t="shared" si="27"/>
        <v>2.2892009522498626</v>
      </c>
      <c r="BE7" s="94">
        <f t="shared" si="28"/>
        <v>10024.410969902148</v>
      </c>
      <c r="BF7">
        <f t="shared" si="29"/>
        <v>4201160.664243551</v>
      </c>
      <c r="BG7">
        <f t="shared" si="30"/>
        <v>2100580.3321217755</v>
      </c>
      <c r="BH7">
        <f t="shared" si="31"/>
        <v>9198441274.3612537</v>
      </c>
      <c r="BI7" s="27"/>
      <c r="BJ7" s="27"/>
      <c r="BM7" s="94">
        <f t="shared" si="32"/>
        <v>300.26655807123291</v>
      </c>
      <c r="BN7" s="94">
        <f t="shared" si="33"/>
        <v>150.13327903561645</v>
      </c>
      <c r="BO7" s="94">
        <f t="shared" si="34"/>
        <v>657433.62889696436</v>
      </c>
      <c r="BP7" s="95">
        <f t="shared" si="35"/>
        <v>1641979459.2720444</v>
      </c>
      <c r="BQ7" s="95">
        <f t="shared" si="36"/>
        <v>820989729.63602221</v>
      </c>
      <c r="BR7" s="95">
        <f t="shared" si="37"/>
        <v>3595114026076.1416</v>
      </c>
      <c r="BW7" s="94">
        <f t="shared" si="38"/>
        <v>591.37691266454794</v>
      </c>
      <c r="BX7" s="94">
        <f t="shared" si="39"/>
        <v>295.68845633227397</v>
      </c>
      <c r="BY7" s="94">
        <f t="shared" si="40"/>
        <v>1294819.7502790277</v>
      </c>
      <c r="BZ7" s="95">
        <f t="shared" si="41"/>
        <v>3279757280.9629812</v>
      </c>
      <c r="CA7" s="95">
        <f t="shared" si="42"/>
        <v>1639878640.4814906</v>
      </c>
      <c r="CB7" s="95">
        <f t="shared" si="43"/>
        <v>7181028566668.4473</v>
      </c>
      <c r="CG7" s="18"/>
      <c r="CK7" s="3"/>
      <c r="CN7" s="95"/>
      <c r="CQ7" s="3"/>
      <c r="CR7" s="95"/>
      <c r="CT7" s="95"/>
      <c r="CV7" s="95"/>
      <c r="CW7" s="3"/>
      <c r="CX7" s="95"/>
      <c r="CZ7" s="95"/>
      <c r="DB7" s="95"/>
      <c r="DC7" s="117"/>
      <c r="DG7" s="3"/>
      <c r="DM7" s="3"/>
      <c r="DR7" s="95"/>
      <c r="DS7" s="3"/>
      <c r="DV7" s="95"/>
      <c r="DW7" s="95"/>
      <c r="DX7" s="95"/>
      <c r="DY7" s="121"/>
      <c r="ED7" s="27"/>
      <c r="EE7" s="27"/>
      <c r="EF7" s="27"/>
      <c r="EG7" s="27"/>
      <c r="FL7" s="121"/>
      <c r="FO7" s="27"/>
      <c r="FP7" s="27"/>
      <c r="FQ7" s="27"/>
      <c r="FR7" s="27"/>
      <c r="FS7" s="27"/>
      <c r="FT7" s="27"/>
      <c r="FU7" s="27"/>
      <c r="FV7" s="27"/>
      <c r="FW7" s="27"/>
      <c r="FX7" s="27"/>
      <c r="FY7" s="27"/>
      <c r="FZ7" s="27"/>
      <c r="GA7" s="177"/>
      <c r="GB7" s="177"/>
      <c r="GC7" s="177"/>
      <c r="GD7" s="177"/>
      <c r="GE7" s="177"/>
      <c r="GF7" s="177"/>
      <c r="GG7" s="177"/>
      <c r="GH7" s="27"/>
      <c r="GI7" s="27"/>
      <c r="GJ7" s="27"/>
      <c r="GK7" s="27"/>
      <c r="GL7" s="27"/>
      <c r="GM7" s="27"/>
      <c r="GN7" s="27"/>
      <c r="GO7" s="27"/>
      <c r="GP7" s="27"/>
      <c r="GQ7" s="27"/>
      <c r="GR7" s="27"/>
      <c r="GS7" s="177"/>
      <c r="GT7" s="177"/>
      <c r="GU7" s="177"/>
      <c r="GV7" s="177"/>
      <c r="GW7" s="177"/>
      <c r="GX7" s="177"/>
      <c r="GY7" s="121"/>
      <c r="HC7" s="3"/>
      <c r="HE7" s="38"/>
      <c r="HF7" s="55"/>
      <c r="HG7" s="38"/>
      <c r="HH7" s="38"/>
      <c r="HL7" s="184"/>
      <c r="HM7" s="95"/>
      <c r="HN7" s="185"/>
      <c r="HO7" s="189"/>
      <c r="HP7" s="185"/>
      <c r="HQ7" s="185"/>
      <c r="HR7" s="121"/>
      <c r="HV7" s="211"/>
      <c r="HX7" s="212"/>
      <c r="HY7" s="213"/>
      <c r="HZ7" s="212"/>
      <c r="IA7" s="219"/>
      <c r="IE7" s="211"/>
      <c r="IG7" s="212"/>
      <c r="IH7" s="213"/>
      <c r="II7" s="212"/>
      <c r="IJ7" s="219"/>
      <c r="IN7" s="211"/>
      <c r="IP7" s="212"/>
      <c r="IQ7" s="213"/>
      <c r="IR7" s="212"/>
      <c r="IS7" s="212"/>
      <c r="IW7" s="211"/>
      <c r="IY7" s="212"/>
      <c r="IZ7" s="213"/>
      <c r="JA7" s="212"/>
      <c r="JB7" s="212"/>
    </row>
    <row r="8" spans="1:262" x14ac:dyDescent="0.2">
      <c r="A8" s="3" t="s">
        <v>12</v>
      </c>
      <c r="B8">
        <v>1239</v>
      </c>
      <c r="C8">
        <v>1221</v>
      </c>
      <c r="D8">
        <v>0.17</v>
      </c>
      <c r="F8" t="s">
        <v>15</v>
      </c>
      <c r="G8" t="s">
        <v>126</v>
      </c>
      <c r="H8" s="20"/>
      <c r="I8" s="21"/>
      <c r="J8">
        <v>211</v>
      </c>
      <c r="K8" s="94">
        <f t="shared" si="2"/>
        <v>6.3452159999999997</v>
      </c>
      <c r="L8" s="94">
        <v>416.14</v>
      </c>
      <c r="M8" s="94">
        <f t="shared" si="3"/>
        <v>819.59039999999993</v>
      </c>
      <c r="N8" s="95">
        <f t="shared" si="4"/>
        <v>5822396.6399999997</v>
      </c>
      <c r="O8" s="96">
        <f t="shared" si="5"/>
        <v>2275622488.7999997</v>
      </c>
      <c r="P8" s="95">
        <f t="shared" si="6"/>
        <v>4545421920</v>
      </c>
      <c r="Q8">
        <v>0.17</v>
      </c>
      <c r="R8" s="27">
        <f t="shared" si="7"/>
        <v>227.60289792000003</v>
      </c>
      <c r="S8" s="27">
        <f t="shared" si="8"/>
        <v>14926.941800000001</v>
      </c>
      <c r="T8" s="27">
        <f t="shared" si="9"/>
        <v>29398.707648</v>
      </c>
      <c r="U8">
        <f t="shared" si="10"/>
        <v>208849367.47679999</v>
      </c>
      <c r="V8" s="27">
        <f t="shared" si="11"/>
        <v>81626578673.255997</v>
      </c>
      <c r="W8" s="27">
        <f t="shared" si="12"/>
        <v>163044284270.40002</v>
      </c>
      <c r="X8" s="18"/>
      <c r="Y8">
        <v>2.3999999999999998E-3</v>
      </c>
      <c r="Z8">
        <v>0.99760000000000004</v>
      </c>
      <c r="AA8" s="94">
        <f t="shared" si="13"/>
        <v>0.54624695500800002</v>
      </c>
      <c r="AB8" s="94">
        <f t="shared" si="14"/>
        <v>35.82466032</v>
      </c>
      <c r="AC8" s="94">
        <f t="shared" si="15"/>
        <v>70.556898355199991</v>
      </c>
      <c r="AD8">
        <f t="shared" si="16"/>
        <v>501238.48194431997</v>
      </c>
      <c r="AE8" s="27">
        <f t="shared" si="44"/>
        <v>195903788.81581438</v>
      </c>
      <c r="AF8" s="27">
        <f t="shared" si="17"/>
        <v>391306282.24896002</v>
      </c>
      <c r="AG8" s="94">
        <f t="shared" si="18"/>
        <v>227.05665096499203</v>
      </c>
      <c r="AH8" s="94">
        <f t="shared" si="19"/>
        <v>14891.117139680002</v>
      </c>
      <c r="AI8" s="94">
        <f t="shared" si="20"/>
        <v>29328.150749644799</v>
      </c>
      <c r="AJ8" s="27">
        <f t="shared" si="21"/>
        <v>208348128.99485567</v>
      </c>
      <c r="AK8" s="95">
        <f t="shared" si="22"/>
        <v>81430674884.440186</v>
      </c>
      <c r="AL8" s="27">
        <f t="shared" si="23"/>
        <v>162652977988.15106</v>
      </c>
      <c r="AM8" s="27"/>
      <c r="AN8" s="27"/>
      <c r="AO8" s="27"/>
      <c r="AP8" s="27"/>
      <c r="AQ8" s="27"/>
      <c r="AR8" s="27"/>
      <c r="AS8" s="1"/>
      <c r="AT8" s="152"/>
      <c r="AU8" s="152"/>
      <c r="AV8" s="152"/>
      <c r="AW8" s="152"/>
      <c r="AX8" s="152"/>
      <c r="AY8" s="18"/>
      <c r="AZ8">
        <v>266</v>
      </c>
      <c r="BA8" s="34">
        <f t="shared" si="24"/>
        <v>3.0365296803652967E-2</v>
      </c>
      <c r="BB8" s="34">
        <f t="shared" si="25"/>
        <v>0.96963470319634704</v>
      </c>
      <c r="BC8" s="94">
        <f t="shared" si="26"/>
        <v>6.8946425977954195</v>
      </c>
      <c r="BD8" s="94">
        <f t="shared" si="27"/>
        <v>3.4473212988977098</v>
      </c>
      <c r="BE8" s="94">
        <f t="shared" si="28"/>
        <v>223.60932966609434</v>
      </c>
      <c r="BF8">
        <f t="shared" si="29"/>
        <v>6326552.7754145674</v>
      </c>
      <c r="BG8">
        <f t="shared" si="30"/>
        <v>3163276.3877072837</v>
      </c>
      <c r="BH8">
        <f t="shared" si="31"/>
        <v>205184852.60714841</v>
      </c>
      <c r="BI8" s="27"/>
      <c r="BJ8" s="27"/>
      <c r="BM8" s="94">
        <f t="shared" si="32"/>
        <v>452.17319168434705</v>
      </c>
      <c r="BN8" s="94">
        <f t="shared" si="33"/>
        <v>226.08659584217352</v>
      </c>
      <c r="BO8" s="94">
        <f t="shared" si="34"/>
        <v>14665.030543837827</v>
      </c>
      <c r="BP8" s="95">
        <f t="shared" si="35"/>
        <v>2472666611.7877955</v>
      </c>
      <c r="BQ8" s="95">
        <f t="shared" si="36"/>
        <v>1236333305.8938978</v>
      </c>
      <c r="BR8" s="95">
        <f t="shared" si="37"/>
        <v>80194341578.54628</v>
      </c>
      <c r="BW8" s="94">
        <f t="shared" si="38"/>
        <v>890.55800221524157</v>
      </c>
      <c r="BX8" s="94">
        <f t="shared" si="39"/>
        <v>445.27900110762079</v>
      </c>
      <c r="BY8" s="94">
        <f t="shared" si="40"/>
        <v>28882.871748537178</v>
      </c>
      <c r="BZ8" s="95">
        <f t="shared" si="41"/>
        <v>4939005952.6082401</v>
      </c>
      <c r="CA8" s="95">
        <f t="shared" si="42"/>
        <v>2469502976.3041201</v>
      </c>
      <c r="CB8" s="95">
        <f t="shared" si="43"/>
        <v>160183475011.84692</v>
      </c>
      <c r="CG8" s="18"/>
      <c r="CK8" s="3"/>
      <c r="CN8" s="95"/>
      <c r="CQ8" s="3"/>
      <c r="CR8" s="95"/>
      <c r="CT8" s="95"/>
      <c r="CV8" s="95"/>
      <c r="CW8" s="3"/>
      <c r="CX8" s="95"/>
      <c r="CZ8" s="95"/>
      <c r="DB8" s="95"/>
      <c r="DC8" s="117"/>
      <c r="DG8" s="3"/>
      <c r="DM8" s="3"/>
      <c r="DR8" s="95"/>
      <c r="DS8" s="3"/>
      <c r="DV8" s="95"/>
      <c r="DW8" s="95"/>
      <c r="DX8" s="95"/>
      <c r="DY8" s="121"/>
      <c r="ED8" s="27"/>
      <c r="EE8" s="27"/>
      <c r="EF8" s="27"/>
      <c r="EG8" s="27"/>
      <c r="FL8" s="121"/>
      <c r="FO8" s="27"/>
      <c r="FP8" s="27"/>
      <c r="FQ8" s="27"/>
      <c r="FR8" s="27"/>
      <c r="FS8" s="27"/>
      <c r="FT8" s="27"/>
      <c r="FU8" s="27"/>
      <c r="FV8" s="27"/>
      <c r="FW8" s="27"/>
      <c r="FX8" s="27"/>
      <c r="FY8" s="27"/>
      <c r="FZ8" s="27"/>
      <c r="GA8" s="177"/>
      <c r="GB8" s="177"/>
      <c r="GC8" s="177"/>
      <c r="GD8" s="177"/>
      <c r="GE8" s="177"/>
      <c r="GF8" s="177"/>
      <c r="GG8" s="177"/>
      <c r="GH8" s="27"/>
      <c r="GI8" s="27"/>
      <c r="GJ8" s="27"/>
      <c r="GK8" s="27"/>
      <c r="GL8" s="27"/>
      <c r="GM8" s="27"/>
      <c r="GN8" s="27"/>
      <c r="GO8" s="27"/>
      <c r="GP8" s="27"/>
      <c r="GQ8" s="27"/>
      <c r="GR8" s="27"/>
      <c r="GS8" s="177"/>
      <c r="GT8" s="177"/>
      <c r="GU8" s="177"/>
      <c r="GV8" s="177"/>
      <c r="GW8" s="177"/>
      <c r="GX8" s="177"/>
      <c r="GY8" s="121"/>
      <c r="HC8" s="3"/>
      <c r="HE8" s="38"/>
      <c r="HF8" s="55"/>
      <c r="HG8" s="38"/>
      <c r="HH8" s="38"/>
      <c r="HL8" s="184"/>
      <c r="HM8" s="95"/>
      <c r="HN8" s="185"/>
      <c r="HO8" s="189"/>
      <c r="HP8" s="185"/>
      <c r="HQ8" s="185"/>
      <c r="HR8" s="121"/>
      <c r="HV8" s="211"/>
      <c r="HX8" s="212"/>
      <c r="HY8" s="213"/>
      <c r="HZ8" s="212"/>
      <c r="IA8" s="219"/>
      <c r="IE8" s="211"/>
      <c r="IG8" s="212"/>
      <c r="IH8" s="213"/>
      <c r="II8" s="212"/>
      <c r="IJ8" s="219"/>
      <c r="IN8" s="211"/>
      <c r="IP8" s="212"/>
      <c r="IQ8" s="213"/>
      <c r="IR8" s="212"/>
      <c r="IS8" s="212"/>
      <c r="IW8" s="211"/>
      <c r="IY8" s="212"/>
      <c r="IZ8" s="213"/>
      <c r="JA8" s="212"/>
      <c r="JB8" s="212"/>
    </row>
    <row r="9" spans="1:262" x14ac:dyDescent="0.2">
      <c r="A9" s="3" t="s">
        <v>17</v>
      </c>
      <c r="B9">
        <v>1700.5</v>
      </c>
      <c r="C9">
        <v>744</v>
      </c>
      <c r="D9">
        <v>0.74</v>
      </c>
      <c r="F9" t="s">
        <v>18</v>
      </c>
      <c r="G9" t="s">
        <v>126</v>
      </c>
      <c r="H9" s="20"/>
      <c r="I9" s="21"/>
      <c r="J9">
        <v>1258</v>
      </c>
      <c r="K9" s="94">
        <f t="shared" si="2"/>
        <v>6.3452159999999997</v>
      </c>
      <c r="L9" s="94">
        <v>416.14</v>
      </c>
      <c r="M9" s="94">
        <f t="shared" si="3"/>
        <v>819.59039999999993</v>
      </c>
      <c r="N9" s="95">
        <f t="shared" si="4"/>
        <v>5822396.6399999997</v>
      </c>
      <c r="O9" s="96">
        <f t="shared" si="5"/>
        <v>2275622488.7999997</v>
      </c>
      <c r="P9" s="95">
        <f t="shared" si="6"/>
        <v>4545421920</v>
      </c>
      <c r="Q9">
        <v>0.74</v>
      </c>
      <c r="R9" s="27">
        <f t="shared" si="7"/>
        <v>5906.8884787199995</v>
      </c>
      <c r="S9" s="27">
        <f t="shared" si="8"/>
        <v>387393.04879999999</v>
      </c>
      <c r="T9" s="27">
        <f t="shared" si="9"/>
        <v>762973.09516799985</v>
      </c>
      <c r="U9">
        <f t="shared" si="10"/>
        <v>5420185480.1087999</v>
      </c>
      <c r="V9" s="27">
        <f t="shared" si="11"/>
        <v>2118422487273.6956</v>
      </c>
      <c r="W9" s="27">
        <f t="shared" si="12"/>
        <v>4231424173766.3999</v>
      </c>
      <c r="X9" s="18"/>
      <c r="Y9">
        <v>2.3999999999999998E-3</v>
      </c>
      <c r="Z9">
        <v>0.99760000000000004</v>
      </c>
      <c r="AA9" s="94">
        <f t="shared" si="13"/>
        <v>14.176532348927998</v>
      </c>
      <c r="AB9" s="94">
        <f t="shared" si="14"/>
        <v>929.74331711999992</v>
      </c>
      <c r="AC9" s="94">
        <f t="shared" si="15"/>
        <v>1831.1354284031995</v>
      </c>
      <c r="AD9">
        <f t="shared" si="16"/>
        <v>13008445.152261119</v>
      </c>
      <c r="AE9" s="27">
        <f t="shared" si="44"/>
        <v>5084213969.4568691</v>
      </c>
      <c r="AF9" s="27">
        <f t="shared" si="17"/>
        <v>10155418017.039358</v>
      </c>
      <c r="AG9" s="94">
        <f t="shared" si="18"/>
        <v>5892.7119463710715</v>
      </c>
      <c r="AH9" s="94">
        <f t="shared" si="19"/>
        <v>386463.30548287998</v>
      </c>
      <c r="AI9" s="94">
        <f t="shared" si="20"/>
        <v>761141.9597395967</v>
      </c>
      <c r="AJ9" s="27">
        <f t="shared" si="21"/>
        <v>5407177034.9565392</v>
      </c>
      <c r="AK9" s="95">
        <f t="shared" si="22"/>
        <v>2113338273304.2388</v>
      </c>
      <c r="AL9" s="27">
        <f t="shared" si="23"/>
        <v>4221268755749.3608</v>
      </c>
      <c r="AM9" s="27"/>
      <c r="AN9" s="27"/>
      <c r="AO9" s="27"/>
      <c r="AP9" s="27"/>
      <c r="AQ9" s="27"/>
      <c r="AR9" s="27"/>
      <c r="AS9" s="1"/>
      <c r="AT9" s="152"/>
      <c r="AU9" s="152"/>
      <c r="AV9" s="152"/>
      <c r="AW9" s="152"/>
      <c r="AX9" s="152"/>
      <c r="AY9" s="18"/>
      <c r="AZ9">
        <v>80</v>
      </c>
      <c r="BA9" s="34">
        <f t="shared" si="24"/>
        <v>9.1324200913242004E-3</v>
      </c>
      <c r="BB9" s="34">
        <f t="shared" si="25"/>
        <v>0.9908675799086758</v>
      </c>
      <c r="BC9" s="94">
        <f t="shared" si="26"/>
        <v>53.814720971425309</v>
      </c>
      <c r="BD9" s="94">
        <f t="shared" si="27"/>
        <v>26.907360485712655</v>
      </c>
      <c r="BE9" s="94">
        <f t="shared" si="28"/>
        <v>5865.8045858853593</v>
      </c>
      <c r="BF9">
        <f t="shared" si="29"/>
        <v>49380612.191383913</v>
      </c>
      <c r="BG9">
        <f t="shared" si="30"/>
        <v>24690306.095691957</v>
      </c>
      <c r="BH9">
        <f t="shared" si="31"/>
        <v>5382486728.8608465</v>
      </c>
      <c r="BI9" s="27"/>
      <c r="BJ9" s="27"/>
      <c r="BM9" s="94">
        <f t="shared" si="32"/>
        <v>3529.345255551415</v>
      </c>
      <c r="BN9" s="94">
        <f t="shared" si="33"/>
        <v>1764.6726277757075</v>
      </c>
      <c r="BO9" s="94">
        <f t="shared" si="34"/>
        <v>384698.63285510428</v>
      </c>
      <c r="BP9" s="95">
        <f t="shared" si="35"/>
        <v>19299892906.888023</v>
      </c>
      <c r="BQ9" s="95">
        <f t="shared" si="36"/>
        <v>9649946453.4440117</v>
      </c>
      <c r="BR9" s="95">
        <f t="shared" si="37"/>
        <v>2103688326850.7949</v>
      </c>
      <c r="BW9" s="94">
        <f t="shared" si="38"/>
        <v>6951.0681254757683</v>
      </c>
      <c r="BX9" s="94">
        <f t="shared" si="39"/>
        <v>3475.5340627378841</v>
      </c>
      <c r="BY9" s="94">
        <f t="shared" si="40"/>
        <v>757666.42567685875</v>
      </c>
      <c r="BZ9" s="95">
        <f t="shared" si="41"/>
        <v>38550399595.884575</v>
      </c>
      <c r="CA9" s="95">
        <f t="shared" si="42"/>
        <v>19275199797.942287</v>
      </c>
      <c r="CB9" s="95">
        <f t="shared" si="43"/>
        <v>4201993555951.4185</v>
      </c>
      <c r="CG9" s="18"/>
      <c r="CK9" s="3"/>
      <c r="CN9" s="95"/>
      <c r="CQ9" s="3"/>
      <c r="CR9" s="95"/>
      <c r="CT9" s="95"/>
      <c r="CV9" s="95"/>
      <c r="CW9" s="3"/>
      <c r="CX9" s="95"/>
      <c r="CZ9" s="95"/>
      <c r="DB9" s="95"/>
      <c r="DC9" s="117"/>
      <c r="DG9" s="3"/>
      <c r="DM9" s="3"/>
      <c r="DR9" s="95"/>
      <c r="DS9" s="3"/>
      <c r="DV9" s="95"/>
      <c r="DW9" s="95"/>
      <c r="DX9" s="95"/>
      <c r="DY9" s="121"/>
      <c r="ED9" s="27"/>
      <c r="EE9" s="27"/>
      <c r="EF9" s="27"/>
      <c r="EG9" s="27"/>
      <c r="FL9" s="121"/>
      <c r="FO9" s="27"/>
      <c r="FP9" s="27"/>
      <c r="FQ9" s="27"/>
      <c r="FR9" s="27"/>
      <c r="FS9" s="27"/>
      <c r="FT9" s="27"/>
      <c r="FU9" s="27"/>
      <c r="FV9" s="27"/>
      <c r="FW9" s="27"/>
      <c r="FX9" s="27"/>
      <c r="FY9" s="27"/>
      <c r="FZ9" s="27"/>
      <c r="GA9" s="177"/>
      <c r="GB9" s="177"/>
      <c r="GC9" s="177"/>
      <c r="GD9" s="177"/>
      <c r="GE9" s="177"/>
      <c r="GF9" s="177"/>
      <c r="GG9" s="177"/>
      <c r="GH9" s="27"/>
      <c r="GI9" s="27"/>
      <c r="GJ9" s="27"/>
      <c r="GK9" s="27"/>
      <c r="GL9" s="27"/>
      <c r="GM9" s="27"/>
      <c r="GN9" s="27"/>
      <c r="GO9" s="27"/>
      <c r="GP9" s="27"/>
      <c r="GQ9" s="27"/>
      <c r="GR9" s="27"/>
      <c r="GS9" s="177"/>
      <c r="GT9" s="177"/>
      <c r="GU9" s="177"/>
      <c r="GV9" s="177"/>
      <c r="GW9" s="177"/>
      <c r="GX9" s="177"/>
      <c r="GY9" s="121"/>
      <c r="HC9" s="3"/>
      <c r="HE9" s="38"/>
      <c r="HF9" s="55"/>
      <c r="HG9" s="38"/>
      <c r="HH9" s="38"/>
      <c r="HL9" s="184"/>
      <c r="HM9" s="95"/>
      <c r="HN9" s="185"/>
      <c r="HO9" s="189"/>
      <c r="HP9" s="185"/>
      <c r="HQ9" s="185"/>
      <c r="HR9" s="121"/>
      <c r="HV9" s="211"/>
      <c r="HX9" s="212"/>
      <c r="HY9" s="213"/>
      <c r="HZ9" s="212"/>
      <c r="IA9" s="219"/>
      <c r="IE9" s="211"/>
      <c r="IG9" s="212"/>
      <c r="IH9" s="213"/>
      <c r="II9" s="212"/>
      <c r="IJ9" s="219"/>
      <c r="IN9" s="211"/>
      <c r="IP9" s="212"/>
      <c r="IQ9" s="213"/>
      <c r="IR9" s="212"/>
      <c r="IS9" s="212"/>
      <c r="IW9" s="211"/>
      <c r="IY9" s="212"/>
      <c r="IZ9" s="213"/>
      <c r="JA9" s="212"/>
      <c r="JB9" s="212"/>
    </row>
    <row r="10" spans="1:262" x14ac:dyDescent="0.2">
      <c r="A10" s="3" t="s">
        <v>19</v>
      </c>
      <c r="B10">
        <v>1688</v>
      </c>
      <c r="C10">
        <v>152.5</v>
      </c>
      <c r="D10">
        <v>1.29</v>
      </c>
      <c r="E10">
        <v>0.35299999999999998</v>
      </c>
      <c r="F10" t="s">
        <v>25</v>
      </c>
      <c r="G10" t="s">
        <v>124</v>
      </c>
      <c r="H10" s="20"/>
      <c r="I10" s="21"/>
      <c r="J10">
        <v>596</v>
      </c>
      <c r="K10" s="94">
        <f t="shared" si="2"/>
        <v>6.3452159999999997</v>
      </c>
      <c r="L10" s="94">
        <v>416.14</v>
      </c>
      <c r="M10" s="94">
        <f t="shared" si="3"/>
        <v>819.59039999999993</v>
      </c>
      <c r="N10" s="95">
        <f t="shared" si="4"/>
        <v>5822396.6399999997</v>
      </c>
      <c r="O10" s="96">
        <f t="shared" si="5"/>
        <v>2275622488.7999997</v>
      </c>
      <c r="P10" s="95">
        <f t="shared" si="6"/>
        <v>4545421920</v>
      </c>
      <c r="Q10">
        <v>0.35</v>
      </c>
      <c r="R10" s="27">
        <f t="shared" si="7"/>
        <v>1323.6120575999998</v>
      </c>
      <c r="S10" s="27">
        <f t="shared" si="8"/>
        <v>86806.803999999989</v>
      </c>
      <c r="T10" s="27">
        <f t="shared" si="9"/>
        <v>170966.55743999998</v>
      </c>
      <c r="U10">
        <f t="shared" si="10"/>
        <v>1214551939.1039999</v>
      </c>
      <c r="V10" s="27">
        <f t="shared" si="11"/>
        <v>474694851163.67993</v>
      </c>
      <c r="W10" s="27">
        <f t="shared" si="12"/>
        <v>948175012512</v>
      </c>
      <c r="X10" s="18"/>
      <c r="Y10">
        <v>2.3999999999999998E-3</v>
      </c>
      <c r="Z10">
        <v>0.99760000000000004</v>
      </c>
      <c r="AA10" s="94">
        <f t="shared" si="13"/>
        <v>3.1766689382399993</v>
      </c>
      <c r="AB10" s="94">
        <f t="shared" si="14"/>
        <v>208.33632959999994</v>
      </c>
      <c r="AC10" s="94">
        <f t="shared" si="15"/>
        <v>410.3197378559999</v>
      </c>
      <c r="AD10">
        <f t="shared" si="16"/>
        <v>2914924.6538495994</v>
      </c>
      <c r="AE10" s="27">
        <f t="shared" si="44"/>
        <v>1139267642.7928317</v>
      </c>
      <c r="AF10" s="27">
        <f t="shared" si="17"/>
        <v>2275620030.0288</v>
      </c>
      <c r="AG10" s="94">
        <f t="shared" si="18"/>
        <v>1320.4353886617598</v>
      </c>
      <c r="AH10" s="94">
        <f t="shared" si="19"/>
        <v>86598.467670399987</v>
      </c>
      <c r="AI10" s="94">
        <f t="shared" si="20"/>
        <v>170556.23770214399</v>
      </c>
      <c r="AJ10" s="27">
        <f t="shared" si="21"/>
        <v>1211637014.4501503</v>
      </c>
      <c r="AK10" s="95">
        <f t="shared" si="22"/>
        <v>473555583520.88715</v>
      </c>
      <c r="AL10" s="27">
        <f t="shared" si="23"/>
        <v>945899392481.97119</v>
      </c>
      <c r="AM10" s="27"/>
      <c r="AN10" s="27"/>
      <c r="AO10" s="27"/>
      <c r="AP10" s="27"/>
      <c r="AQ10" s="27"/>
      <c r="AR10" s="27"/>
      <c r="AS10" s="1"/>
      <c r="AT10" s="152"/>
      <c r="AU10" s="152"/>
      <c r="AV10" s="152"/>
      <c r="AW10" s="152"/>
      <c r="AX10" s="152"/>
      <c r="AY10" s="18"/>
      <c r="AZ10">
        <v>332</v>
      </c>
      <c r="BA10" s="34">
        <f t="shared" si="24"/>
        <v>3.7899543378995433E-2</v>
      </c>
      <c r="BB10" s="34">
        <f t="shared" si="25"/>
        <v>0.96210045662100452</v>
      </c>
      <c r="BC10" s="94">
        <f t="shared" si="26"/>
        <v>50.043898291747063</v>
      </c>
      <c r="BD10" s="94">
        <f t="shared" si="27"/>
        <v>25.021949145873531</v>
      </c>
      <c r="BE10" s="94">
        <f t="shared" si="28"/>
        <v>1295.4134395158862</v>
      </c>
      <c r="BF10">
        <f t="shared" si="29"/>
        <v>45920489.588749982</v>
      </c>
      <c r="BG10">
        <f t="shared" si="30"/>
        <v>22960244.794374991</v>
      </c>
      <c r="BH10">
        <f t="shared" si="31"/>
        <v>1188676769.6557751</v>
      </c>
      <c r="BI10" s="27"/>
      <c r="BJ10" s="27"/>
      <c r="BM10" s="94">
        <f t="shared" si="32"/>
        <v>3282.0423820288579</v>
      </c>
      <c r="BN10" s="94">
        <f t="shared" si="33"/>
        <v>1641.021191014429</v>
      </c>
      <c r="BO10" s="94">
        <f t="shared" si="34"/>
        <v>84957.446479385559</v>
      </c>
      <c r="BP10" s="95">
        <f t="shared" si="35"/>
        <v>17947540380.015358</v>
      </c>
      <c r="BQ10" s="95">
        <f t="shared" si="36"/>
        <v>8973770190.007679</v>
      </c>
      <c r="BR10" s="95">
        <f t="shared" si="37"/>
        <v>464581813330.87946</v>
      </c>
      <c r="BW10" s="94">
        <f t="shared" si="38"/>
        <v>6464.0035293506626</v>
      </c>
      <c r="BX10" s="94">
        <f t="shared" si="39"/>
        <v>3232.0017646753313</v>
      </c>
      <c r="BY10" s="94">
        <f t="shared" si="40"/>
        <v>167324.23593746865</v>
      </c>
      <c r="BZ10" s="95">
        <f t="shared" si="41"/>
        <v>35849155057.535896</v>
      </c>
      <c r="CA10" s="95">
        <f t="shared" si="42"/>
        <v>17924577528.767948</v>
      </c>
      <c r="CB10" s="95">
        <f t="shared" si="43"/>
        <v>927974814953.20325</v>
      </c>
      <c r="CG10" s="18"/>
      <c r="CK10" s="3"/>
      <c r="CN10" s="95"/>
      <c r="CQ10" s="3"/>
      <c r="CR10" s="95"/>
      <c r="CT10" s="95"/>
      <c r="CV10" s="95"/>
      <c r="CW10" s="3"/>
      <c r="CX10" s="95"/>
      <c r="CZ10" s="95"/>
      <c r="DB10" s="95"/>
      <c r="DC10" s="117"/>
      <c r="DG10" s="3"/>
      <c r="DM10" s="3"/>
      <c r="DR10" s="95"/>
      <c r="DS10" s="3"/>
      <c r="DV10" s="95"/>
      <c r="DW10" s="95"/>
      <c r="DX10" s="95"/>
      <c r="DY10" s="121"/>
      <c r="ED10" s="27"/>
      <c r="EE10" s="27"/>
      <c r="EF10" s="27"/>
      <c r="EG10" s="27"/>
      <c r="FL10" s="121"/>
      <c r="FO10" s="27"/>
      <c r="FP10" s="27"/>
      <c r="FQ10" s="27"/>
      <c r="FR10" s="27"/>
      <c r="FS10" s="27"/>
      <c r="FT10" s="27"/>
      <c r="FU10" s="27"/>
      <c r="FV10" s="27"/>
      <c r="FW10" s="27"/>
      <c r="FX10" s="27"/>
      <c r="FY10" s="27"/>
      <c r="FZ10" s="27"/>
      <c r="GA10" s="177"/>
      <c r="GB10" s="177"/>
      <c r="GC10" s="177"/>
      <c r="GD10" s="177"/>
      <c r="GE10" s="177"/>
      <c r="GF10" s="177"/>
      <c r="GG10" s="177"/>
      <c r="GH10" s="27"/>
      <c r="GI10" s="27"/>
      <c r="GJ10" s="27"/>
      <c r="GK10" s="27"/>
      <c r="GL10" s="27"/>
      <c r="GM10" s="27"/>
      <c r="GN10" s="27"/>
      <c r="GO10" s="27"/>
      <c r="GP10" s="27"/>
      <c r="GQ10" s="27"/>
      <c r="GR10" s="27"/>
      <c r="GS10" s="177"/>
      <c r="GT10" s="177"/>
      <c r="GU10" s="177"/>
      <c r="GV10" s="177"/>
      <c r="GW10" s="177"/>
      <c r="GX10" s="177"/>
      <c r="GY10" s="121"/>
      <c r="HC10" s="3"/>
      <c r="HE10" s="38"/>
      <c r="HF10" s="55"/>
      <c r="HG10" s="38"/>
      <c r="HH10" s="38"/>
      <c r="HL10" s="184"/>
      <c r="HM10" s="95"/>
      <c r="HN10" s="185"/>
      <c r="HO10" s="189"/>
      <c r="HP10" s="185"/>
      <c r="HQ10" s="185"/>
      <c r="HR10" s="121"/>
      <c r="HV10" s="211"/>
      <c r="HX10" s="212"/>
      <c r="HY10" s="213"/>
      <c r="HZ10" s="212"/>
      <c r="IA10" s="219"/>
      <c r="IE10" s="211"/>
      <c r="IG10" s="212"/>
      <c r="IH10" s="213"/>
      <c r="II10" s="212"/>
      <c r="IJ10" s="219"/>
      <c r="IN10" s="211"/>
      <c r="IP10" s="212"/>
      <c r="IQ10" s="213"/>
      <c r="IR10" s="212"/>
      <c r="IS10" s="212"/>
      <c r="IW10" s="211"/>
      <c r="IY10" s="212"/>
      <c r="IZ10" s="213"/>
      <c r="JA10" s="212"/>
      <c r="JB10" s="212"/>
    </row>
    <row r="11" spans="1:262" x14ac:dyDescent="0.2">
      <c r="A11" s="3" t="s">
        <v>20</v>
      </c>
      <c r="B11">
        <v>2122</v>
      </c>
      <c r="C11">
        <v>15</v>
      </c>
      <c r="D11">
        <v>0.24</v>
      </c>
      <c r="E11">
        <v>0.317</v>
      </c>
      <c r="F11" t="s">
        <v>26</v>
      </c>
      <c r="G11" t="s">
        <v>124</v>
      </c>
      <c r="H11" s="20"/>
      <c r="I11" s="21"/>
      <c r="J11">
        <v>673</v>
      </c>
      <c r="K11" s="94">
        <f t="shared" si="2"/>
        <v>6.3452159999999997</v>
      </c>
      <c r="L11" s="94">
        <v>416.14</v>
      </c>
      <c r="M11" s="94">
        <f t="shared" si="3"/>
        <v>819.59039999999993</v>
      </c>
      <c r="N11" s="95">
        <f t="shared" si="4"/>
        <v>5822396.6399999997</v>
      </c>
      <c r="O11" s="96">
        <f t="shared" si="5"/>
        <v>2275622488.7999997</v>
      </c>
      <c r="P11" s="95">
        <f t="shared" si="6"/>
        <v>4545421920</v>
      </c>
      <c r="Q11">
        <v>0.32</v>
      </c>
      <c r="R11" s="27">
        <f t="shared" si="7"/>
        <v>1366.5057177599999</v>
      </c>
      <c r="S11" s="27">
        <f t="shared" si="8"/>
        <v>89619.910399999993</v>
      </c>
      <c r="T11" s="27">
        <f t="shared" si="9"/>
        <v>176506.98854399999</v>
      </c>
      <c r="U11">
        <f t="shared" si="10"/>
        <v>1253911340.3903999</v>
      </c>
      <c r="V11" s="27">
        <f t="shared" si="11"/>
        <v>490078059187.96796</v>
      </c>
      <c r="W11" s="27">
        <f t="shared" si="12"/>
        <v>978902064691.20007</v>
      </c>
      <c r="X11" s="18"/>
      <c r="Y11">
        <v>2.3999999999999998E-3</v>
      </c>
      <c r="Z11">
        <v>0.99760000000000004</v>
      </c>
      <c r="AA11" s="94">
        <f t="shared" si="13"/>
        <v>3.2796137226239996</v>
      </c>
      <c r="AB11" s="94">
        <f t="shared" si="14"/>
        <v>215.08778495999996</v>
      </c>
      <c r="AC11" s="94">
        <f t="shared" si="15"/>
        <v>423.61677250559995</v>
      </c>
      <c r="AD11">
        <f t="shared" si="16"/>
        <v>3009387.2169369594</v>
      </c>
      <c r="AE11" s="27">
        <f t="shared" si="44"/>
        <v>1176187342.0511229</v>
      </c>
      <c r="AF11" s="27">
        <f t="shared" si="17"/>
        <v>2349364955.2588801</v>
      </c>
      <c r="AG11" s="94">
        <f t="shared" si="18"/>
        <v>1363.226104037376</v>
      </c>
      <c r="AH11" s="94">
        <f t="shared" si="19"/>
        <v>89404.822615040001</v>
      </c>
      <c r="AI11" s="94">
        <f t="shared" si="20"/>
        <v>176083.37177149439</v>
      </c>
      <c r="AJ11" s="27">
        <f t="shared" si="21"/>
        <v>1250901953.1734631</v>
      </c>
      <c r="AK11" s="95">
        <f t="shared" si="22"/>
        <v>488901871845.91687</v>
      </c>
      <c r="AL11" s="27">
        <f t="shared" si="23"/>
        <v>976552699735.94128</v>
      </c>
      <c r="AM11" s="27"/>
      <c r="AN11" s="27"/>
      <c r="AO11" s="27"/>
      <c r="AP11" s="27"/>
      <c r="AQ11" s="27"/>
      <c r="AR11" s="27"/>
      <c r="AS11" s="1"/>
      <c r="AT11" s="152"/>
      <c r="AU11" s="152"/>
      <c r="AV11" s="152"/>
      <c r="AW11" s="152"/>
      <c r="AX11" s="152"/>
      <c r="AY11" s="18"/>
      <c r="AZ11">
        <v>0</v>
      </c>
      <c r="BA11" s="34">
        <f t="shared" si="24"/>
        <v>0</v>
      </c>
      <c r="BB11" s="34">
        <f t="shared" si="25"/>
        <v>1</v>
      </c>
      <c r="BC11" s="94">
        <f t="shared" si="26"/>
        <v>0</v>
      </c>
      <c r="BD11" s="94">
        <f t="shared" si="27"/>
        <v>0</v>
      </c>
      <c r="BE11" s="94">
        <f t="shared" si="28"/>
        <v>1363.226104037376</v>
      </c>
      <c r="BF11">
        <f t="shared" si="29"/>
        <v>0</v>
      </c>
      <c r="BG11">
        <f t="shared" si="30"/>
        <v>0</v>
      </c>
      <c r="BH11">
        <f t="shared" si="31"/>
        <v>1250901953.1734631</v>
      </c>
      <c r="BI11" s="27"/>
      <c r="BJ11" s="27"/>
      <c r="BM11" s="94">
        <f t="shared" si="32"/>
        <v>0</v>
      </c>
      <c r="BN11" s="94">
        <f t="shared" si="33"/>
        <v>0</v>
      </c>
      <c r="BO11" s="94">
        <f t="shared" si="34"/>
        <v>89404.822615040001</v>
      </c>
      <c r="BP11" s="95">
        <f t="shared" si="35"/>
        <v>0</v>
      </c>
      <c r="BQ11" s="95">
        <f t="shared" si="36"/>
        <v>0</v>
      </c>
      <c r="BR11" s="95">
        <f t="shared" si="37"/>
        <v>488901871845.91687</v>
      </c>
      <c r="BW11" s="94">
        <f t="shared" si="38"/>
        <v>0</v>
      </c>
      <c r="BX11" s="94">
        <f t="shared" si="39"/>
        <v>0</v>
      </c>
      <c r="BY11" s="94">
        <f t="shared" si="40"/>
        <v>176083.37177149439</v>
      </c>
      <c r="BZ11" s="95">
        <f t="shared" si="41"/>
        <v>0</v>
      </c>
      <c r="CA11" s="95">
        <f t="shared" si="42"/>
        <v>0</v>
      </c>
      <c r="CB11" s="95">
        <f t="shared" si="43"/>
        <v>976552699735.94128</v>
      </c>
      <c r="CG11" s="18"/>
      <c r="CK11" s="3"/>
      <c r="CN11" s="95"/>
      <c r="CQ11" s="3"/>
      <c r="CR11" s="95"/>
      <c r="CT11" s="95"/>
      <c r="CV11" s="95"/>
      <c r="CW11" s="3"/>
      <c r="CX11" s="95"/>
      <c r="CZ11" s="95"/>
      <c r="DB11" s="95"/>
      <c r="DC11" s="117"/>
      <c r="DG11" s="3"/>
      <c r="DM11" s="3"/>
      <c r="DR11" s="95"/>
      <c r="DS11" s="3"/>
      <c r="DV11" s="95"/>
      <c r="DW11" s="95"/>
      <c r="DX11" s="95"/>
      <c r="DY11" s="121"/>
      <c r="ED11" s="27"/>
      <c r="EE11" s="27"/>
      <c r="EF11" s="27"/>
      <c r="EG11" s="27"/>
      <c r="FL11" s="121"/>
      <c r="FO11" s="27"/>
      <c r="FP11" s="27"/>
      <c r="FQ11" s="27"/>
      <c r="FR11" s="27"/>
      <c r="FS11" s="27"/>
      <c r="FT11" s="27"/>
      <c r="FU11" s="27"/>
      <c r="FV11" s="27"/>
      <c r="FW11" s="27"/>
      <c r="FX11" s="27"/>
      <c r="FY11" s="27"/>
      <c r="FZ11" s="27"/>
      <c r="GA11" s="177"/>
      <c r="GB11" s="177"/>
      <c r="GC11" s="177"/>
      <c r="GD11" s="177"/>
      <c r="GE11" s="177"/>
      <c r="GF11" s="177"/>
      <c r="GG11" s="177"/>
      <c r="GH11" s="27"/>
      <c r="GI11" s="27"/>
      <c r="GJ11" s="27"/>
      <c r="GK11" s="27"/>
      <c r="GL11" s="27"/>
      <c r="GM11" s="27"/>
      <c r="GN11" s="27"/>
      <c r="GO11" s="27"/>
      <c r="GP11" s="27"/>
      <c r="GQ11" s="27"/>
      <c r="GR11" s="27"/>
      <c r="GS11" s="177"/>
      <c r="GT11" s="177"/>
      <c r="GU11" s="177"/>
      <c r="GV11" s="177"/>
      <c r="GW11" s="177"/>
      <c r="GX11" s="177"/>
      <c r="GY11" s="121"/>
      <c r="HC11" s="3"/>
      <c r="HE11" s="38"/>
      <c r="HF11" s="55"/>
      <c r="HG11" s="38"/>
      <c r="HH11" s="38"/>
      <c r="HL11" s="184"/>
      <c r="HM11" s="95"/>
      <c r="HN11" s="185"/>
      <c r="HO11" s="189"/>
      <c r="HP11" s="185"/>
      <c r="HQ11" s="185"/>
      <c r="HR11" s="121"/>
      <c r="HV11" s="211"/>
      <c r="HX11" s="212"/>
      <c r="HY11" s="213"/>
      <c r="HZ11" s="212"/>
      <c r="IA11" s="219"/>
      <c r="IE11" s="211"/>
      <c r="IG11" s="212"/>
      <c r="IH11" s="213"/>
      <c r="II11" s="212"/>
      <c r="IJ11" s="219"/>
      <c r="IN11" s="211"/>
      <c r="IP11" s="212"/>
      <c r="IQ11" s="213"/>
      <c r="IR11" s="212"/>
      <c r="IS11" s="212"/>
      <c r="IW11" s="211"/>
      <c r="IY11" s="212"/>
      <c r="IZ11" s="213"/>
      <c r="JA11" s="212"/>
      <c r="JB11" s="212"/>
    </row>
    <row r="12" spans="1:262" x14ac:dyDescent="0.2">
      <c r="A12" s="3" t="s">
        <v>21</v>
      </c>
      <c r="B12">
        <v>2122</v>
      </c>
      <c r="C12">
        <v>15</v>
      </c>
      <c r="D12">
        <v>1.36</v>
      </c>
      <c r="E12">
        <v>0.19</v>
      </c>
      <c r="F12" t="s">
        <v>27</v>
      </c>
      <c r="G12" t="s">
        <v>124</v>
      </c>
      <c r="H12" s="20"/>
      <c r="I12" s="21"/>
      <c r="J12">
        <v>403</v>
      </c>
      <c r="K12" s="94">
        <f t="shared" si="2"/>
        <v>6.3452159999999997</v>
      </c>
      <c r="L12" s="94">
        <v>416.14</v>
      </c>
      <c r="M12" s="94">
        <f t="shared" si="3"/>
        <v>819.59039999999993</v>
      </c>
      <c r="N12" s="95">
        <f t="shared" si="4"/>
        <v>5822396.6399999997</v>
      </c>
      <c r="O12" s="96">
        <f t="shared" si="5"/>
        <v>2275622488.7999997</v>
      </c>
      <c r="P12" s="95">
        <f t="shared" si="6"/>
        <v>4545421920</v>
      </c>
      <c r="Q12">
        <v>0.19</v>
      </c>
      <c r="R12" s="27">
        <f t="shared" si="7"/>
        <v>485.85318911999997</v>
      </c>
      <c r="S12" s="27">
        <f t="shared" si="8"/>
        <v>31863.839799999998</v>
      </c>
      <c r="T12" s="27">
        <f t="shared" si="9"/>
        <v>62756.036928000001</v>
      </c>
      <c r="U12">
        <f t="shared" si="10"/>
        <v>445820910.72479999</v>
      </c>
      <c r="V12" s="27">
        <f t="shared" si="11"/>
        <v>174244413967.41599</v>
      </c>
      <c r="W12" s="27">
        <f t="shared" si="12"/>
        <v>348042956414.40002</v>
      </c>
      <c r="X12" s="18"/>
      <c r="Y12">
        <v>2.3999999999999998E-3</v>
      </c>
      <c r="Z12">
        <v>0.99760000000000004</v>
      </c>
      <c r="AA12" s="94">
        <f t="shared" si="13"/>
        <v>1.1660476538879998</v>
      </c>
      <c r="AB12" s="94">
        <f t="shared" si="14"/>
        <v>76.473215519999982</v>
      </c>
      <c r="AC12" s="94">
        <f t="shared" si="15"/>
        <v>150.61448862719999</v>
      </c>
      <c r="AD12">
        <f t="shared" si="16"/>
        <v>1069970.1857395198</v>
      </c>
      <c r="AE12" s="27">
        <f t="shared" si="44"/>
        <v>418186593.52179831</v>
      </c>
      <c r="AF12" s="27">
        <f t="shared" si="17"/>
        <v>835303095.39455998</v>
      </c>
      <c r="AG12" s="94">
        <f t="shared" si="18"/>
        <v>484.687141466112</v>
      </c>
      <c r="AH12" s="94">
        <f t="shared" si="19"/>
        <v>31787.366584479998</v>
      </c>
      <c r="AI12" s="94">
        <f t="shared" si="20"/>
        <v>62605.422439372807</v>
      </c>
      <c r="AJ12" s="27">
        <f t="shared" si="21"/>
        <v>444750940.53906047</v>
      </c>
      <c r="AK12" s="95">
        <f t="shared" si="22"/>
        <v>173826227373.8942</v>
      </c>
      <c r="AL12" s="27">
        <f t="shared" si="23"/>
        <v>347207653319.00549</v>
      </c>
      <c r="AM12" s="27"/>
      <c r="AN12" s="27"/>
      <c r="AO12" s="27"/>
      <c r="AP12" s="27"/>
      <c r="AQ12" s="27"/>
      <c r="AR12" s="27"/>
      <c r="AS12" s="1"/>
      <c r="AT12" s="152"/>
      <c r="AU12" s="152"/>
      <c r="AV12" s="152"/>
      <c r="AW12" s="152"/>
      <c r="AX12" s="152"/>
      <c r="AY12" s="18"/>
      <c r="AZ12">
        <v>10</v>
      </c>
      <c r="BA12" s="34">
        <f t="shared" si="24"/>
        <v>1.1415525114155251E-3</v>
      </c>
      <c r="BB12" s="34">
        <f t="shared" si="25"/>
        <v>0.99885844748858443</v>
      </c>
      <c r="BC12" s="94">
        <f t="shared" si="26"/>
        <v>0.55329582359145202</v>
      </c>
      <c r="BD12" s="94">
        <f t="shared" si="27"/>
        <v>0.27664791179572601</v>
      </c>
      <c r="BE12" s="94">
        <f t="shared" si="28"/>
        <v>484.41049355431625</v>
      </c>
      <c r="BF12">
        <f t="shared" si="29"/>
        <v>507706.55312678131</v>
      </c>
      <c r="BG12">
        <f t="shared" si="30"/>
        <v>253853.27656339065</v>
      </c>
      <c r="BH12">
        <f t="shared" si="31"/>
        <v>444497087.26249707</v>
      </c>
      <c r="BI12" s="27"/>
      <c r="BJ12" s="27"/>
      <c r="BM12" s="94">
        <f t="shared" si="32"/>
        <v>36.286948155799081</v>
      </c>
      <c r="BN12" s="94">
        <f t="shared" si="33"/>
        <v>18.14347407789954</v>
      </c>
      <c r="BO12" s="94">
        <f t="shared" si="34"/>
        <v>31769.223110402098</v>
      </c>
      <c r="BP12" s="95">
        <f t="shared" si="35"/>
        <v>198431766.408555</v>
      </c>
      <c r="BQ12" s="95">
        <f t="shared" si="36"/>
        <v>99215883.204277501</v>
      </c>
      <c r="BR12" s="95">
        <f t="shared" si="37"/>
        <v>173727011490.68991</v>
      </c>
      <c r="BW12" s="94">
        <f t="shared" si="38"/>
        <v>71.467377213895901</v>
      </c>
      <c r="BX12" s="94">
        <f t="shared" si="39"/>
        <v>35.73368860694795</v>
      </c>
      <c r="BY12" s="94">
        <f t="shared" si="40"/>
        <v>62569.688750765854</v>
      </c>
      <c r="BZ12" s="95">
        <f t="shared" si="41"/>
        <v>396355768.62900168</v>
      </c>
      <c r="CA12" s="95">
        <f t="shared" si="42"/>
        <v>198177884.31450084</v>
      </c>
      <c r="CB12" s="95">
        <f t="shared" si="43"/>
        <v>347009475434.69098</v>
      </c>
      <c r="CG12" s="18"/>
      <c r="CK12" s="3"/>
      <c r="CN12" s="95"/>
      <c r="CQ12" s="3"/>
      <c r="CR12" s="95"/>
      <c r="CT12" s="95"/>
      <c r="CV12" s="95"/>
      <c r="CW12" s="3"/>
      <c r="CX12" s="95"/>
      <c r="CZ12" s="95"/>
      <c r="DB12" s="95"/>
      <c r="DC12" s="117"/>
      <c r="DG12" s="3"/>
      <c r="DM12" s="3"/>
      <c r="DR12" s="95"/>
      <c r="DS12" s="3"/>
      <c r="DV12" s="95"/>
      <c r="DW12" s="95"/>
      <c r="DX12" s="95"/>
      <c r="DY12" s="121"/>
      <c r="ED12" s="27"/>
      <c r="EE12" s="27"/>
      <c r="EF12" s="27"/>
      <c r="EG12" s="27"/>
      <c r="FL12" s="121"/>
      <c r="FO12" s="27"/>
      <c r="FP12" s="27"/>
      <c r="FQ12" s="27"/>
      <c r="FR12" s="27"/>
      <c r="FS12" s="27"/>
      <c r="FT12" s="27"/>
      <c r="FU12" s="27"/>
      <c r="FV12" s="27"/>
      <c r="FW12" s="27"/>
      <c r="FX12" s="27"/>
      <c r="FY12" s="27"/>
      <c r="FZ12" s="27"/>
      <c r="GA12" s="177"/>
      <c r="GB12" s="177"/>
      <c r="GC12" s="177"/>
      <c r="GD12" s="177"/>
      <c r="GE12" s="177"/>
      <c r="GF12" s="177"/>
      <c r="GG12" s="177"/>
      <c r="GH12" s="27"/>
      <c r="GI12" s="27"/>
      <c r="GJ12" s="27"/>
      <c r="GK12" s="27"/>
      <c r="GL12" s="27"/>
      <c r="GM12" s="27"/>
      <c r="GN12" s="27"/>
      <c r="GO12" s="27"/>
      <c r="GP12" s="27"/>
      <c r="GQ12" s="27"/>
      <c r="GR12" s="27"/>
      <c r="GS12" s="177"/>
      <c r="GT12" s="177"/>
      <c r="GU12" s="177"/>
      <c r="GV12" s="177"/>
      <c r="GW12" s="177"/>
      <c r="GX12" s="177"/>
      <c r="GY12" s="121"/>
      <c r="HC12" s="3"/>
      <c r="HE12" s="38"/>
      <c r="HF12" s="55"/>
      <c r="HG12" s="38"/>
      <c r="HH12" s="38"/>
      <c r="HL12" s="184"/>
      <c r="HM12" s="95"/>
      <c r="HN12" s="185"/>
      <c r="HO12" s="189"/>
      <c r="HP12" s="185"/>
      <c r="HQ12" s="185"/>
      <c r="HR12" s="121"/>
      <c r="HV12" s="211"/>
      <c r="HX12" s="212"/>
      <c r="HY12" s="213"/>
      <c r="HZ12" s="212"/>
      <c r="IA12" s="219"/>
      <c r="IE12" s="211"/>
      <c r="IG12" s="212"/>
      <c r="IH12" s="213"/>
      <c r="II12" s="212"/>
      <c r="IJ12" s="219"/>
      <c r="IN12" s="211"/>
      <c r="IP12" s="212"/>
      <c r="IQ12" s="213"/>
      <c r="IR12" s="212"/>
      <c r="IS12" s="212"/>
      <c r="IW12" s="211"/>
      <c r="IY12" s="212"/>
      <c r="IZ12" s="213"/>
      <c r="JA12" s="212"/>
      <c r="JB12" s="212"/>
    </row>
    <row r="13" spans="1:262" x14ac:dyDescent="0.2">
      <c r="A13" s="3" t="s">
        <v>23</v>
      </c>
      <c r="B13">
        <v>1479</v>
      </c>
      <c r="C13">
        <v>8</v>
      </c>
      <c r="D13">
        <v>1.01</v>
      </c>
      <c r="F13" t="s">
        <v>28</v>
      </c>
      <c r="G13" t="s">
        <v>30</v>
      </c>
      <c r="H13" s="20"/>
      <c r="I13" s="21"/>
      <c r="J13">
        <v>8</v>
      </c>
      <c r="K13" s="94">
        <f t="shared" si="2"/>
        <v>6.3452159999999997</v>
      </c>
      <c r="L13" s="94">
        <v>416.14</v>
      </c>
      <c r="M13" s="94">
        <f t="shared" si="3"/>
        <v>819.59039999999993</v>
      </c>
      <c r="N13" s="95">
        <f t="shared" si="4"/>
        <v>5822396.6399999997</v>
      </c>
      <c r="O13" s="96">
        <f t="shared" si="5"/>
        <v>2275622488.7999997</v>
      </c>
      <c r="P13" s="95">
        <f t="shared" si="6"/>
        <v>4545421920</v>
      </c>
      <c r="Q13">
        <v>1.01</v>
      </c>
      <c r="R13" s="27">
        <f t="shared" si="7"/>
        <v>51.269345279999996</v>
      </c>
      <c r="S13" s="27">
        <f t="shared" si="8"/>
        <v>3362.4112</v>
      </c>
      <c r="T13" s="27">
        <f t="shared" si="9"/>
        <v>6622.2904319999998</v>
      </c>
      <c r="U13">
        <f t="shared" si="10"/>
        <v>47044964.851199999</v>
      </c>
      <c r="V13" s="27">
        <f t="shared" si="11"/>
        <v>18387029709.503998</v>
      </c>
      <c r="W13" s="27">
        <f t="shared" si="12"/>
        <v>36727009113.599998</v>
      </c>
      <c r="X13" s="18"/>
      <c r="Y13">
        <v>2.3999999999999998E-3</v>
      </c>
      <c r="Z13">
        <v>0.99760000000000004</v>
      </c>
      <c r="AA13" s="94">
        <f t="shared" si="13"/>
        <v>0.12304642867199998</v>
      </c>
      <c r="AB13" s="94">
        <f t="shared" si="14"/>
        <v>8.0697868799999988</v>
      </c>
      <c r="AC13" s="94">
        <f t="shared" si="15"/>
        <v>15.893497036799998</v>
      </c>
      <c r="AD13">
        <f t="shared" si="16"/>
        <v>112907.91564287999</v>
      </c>
      <c r="AE13" s="27">
        <f t="shared" si="44"/>
        <v>44128871.302809589</v>
      </c>
      <c r="AF13" s="27">
        <f t="shared" si="17"/>
        <v>88144821.872639984</v>
      </c>
      <c r="AG13" s="94">
        <f t="shared" si="18"/>
        <v>51.146298851327998</v>
      </c>
      <c r="AH13" s="94">
        <f t="shared" si="19"/>
        <v>3354.3414131200002</v>
      </c>
      <c r="AI13" s="94">
        <f t="shared" si="20"/>
        <v>6606.3969349631998</v>
      </c>
      <c r="AJ13" s="27">
        <f t="shared" si="21"/>
        <v>46932056.93555712</v>
      </c>
      <c r="AK13" s="95">
        <f t="shared" si="22"/>
        <v>18342900838.201187</v>
      </c>
      <c r="AL13" s="27">
        <f t="shared" si="23"/>
        <v>36638864291.727364</v>
      </c>
      <c r="AM13" s="27"/>
      <c r="AN13" s="27"/>
      <c r="AO13" s="27"/>
      <c r="AP13" s="27"/>
      <c r="AQ13" s="27"/>
      <c r="AR13" s="27"/>
      <c r="AS13" s="1"/>
      <c r="AT13" s="152"/>
      <c r="AU13" s="152"/>
      <c r="AV13" s="152"/>
      <c r="AW13" s="152"/>
      <c r="AX13" s="152"/>
      <c r="AY13" s="18"/>
      <c r="AZ13">
        <v>886</v>
      </c>
      <c r="BA13" s="34">
        <f t="shared" si="24"/>
        <v>0.10114155251141553</v>
      </c>
      <c r="BB13" s="34">
        <f t="shared" si="25"/>
        <v>0.89885844748858446</v>
      </c>
      <c r="BC13" s="94">
        <f t="shared" si="26"/>
        <v>5.1730160710361428</v>
      </c>
      <c r="BD13" s="94">
        <f t="shared" si="27"/>
        <v>2.5865080355180714</v>
      </c>
      <c r="BE13" s="94">
        <f t="shared" si="28"/>
        <v>48.559790815809926</v>
      </c>
      <c r="BF13">
        <f t="shared" si="29"/>
        <v>4746781.1010163939</v>
      </c>
      <c r="BG13">
        <f t="shared" si="30"/>
        <v>2373390.5505081969</v>
      </c>
      <c r="BH13">
        <f t="shared" si="31"/>
        <v>44558666.385048918</v>
      </c>
      <c r="BI13" s="27"/>
      <c r="BJ13" s="27"/>
      <c r="BM13" s="94">
        <f t="shared" si="32"/>
        <v>339.26329817629227</v>
      </c>
      <c r="BN13" s="94">
        <f t="shared" si="33"/>
        <v>169.63164908814613</v>
      </c>
      <c r="BO13" s="94">
        <f t="shared" si="34"/>
        <v>3184.7097640318543</v>
      </c>
      <c r="BP13" s="95">
        <f t="shared" si="35"/>
        <v>1855229468.3386133</v>
      </c>
      <c r="BQ13" s="95">
        <f t="shared" si="36"/>
        <v>927614734.16930664</v>
      </c>
      <c r="BR13" s="95">
        <f t="shared" si="37"/>
        <v>17415286104.031879</v>
      </c>
      <c r="BW13" s="94">
        <f t="shared" si="38"/>
        <v>668.18124250883511</v>
      </c>
      <c r="BX13" s="94">
        <f t="shared" si="39"/>
        <v>334.09062125441756</v>
      </c>
      <c r="BY13" s="94">
        <f t="shared" si="40"/>
        <v>6272.306313708782</v>
      </c>
      <c r="BZ13" s="95">
        <f t="shared" si="41"/>
        <v>3705711616.7203708</v>
      </c>
      <c r="CA13" s="95">
        <f t="shared" si="42"/>
        <v>1852855808.3601854</v>
      </c>
      <c r="CB13" s="95">
        <f t="shared" si="43"/>
        <v>34786008483.36718</v>
      </c>
      <c r="CG13" s="18"/>
      <c r="CK13" s="3"/>
      <c r="CN13" s="95"/>
      <c r="CQ13" s="3"/>
      <c r="CR13" s="95"/>
      <c r="CT13" s="95"/>
      <c r="CV13" s="95"/>
      <c r="CW13" s="3"/>
      <c r="CX13" s="95"/>
      <c r="CZ13" s="95"/>
      <c r="DB13" s="95"/>
      <c r="DC13" s="117"/>
      <c r="DG13" s="3"/>
      <c r="DM13" s="3"/>
      <c r="DR13" s="95"/>
      <c r="DS13" s="3"/>
      <c r="DV13" s="95"/>
      <c r="DW13" s="95"/>
      <c r="DX13" s="95"/>
      <c r="DY13" s="121"/>
      <c r="ED13" s="27"/>
      <c r="EE13" s="27"/>
      <c r="EF13" s="27"/>
      <c r="EG13" s="27"/>
      <c r="FL13" s="121"/>
      <c r="FO13" s="27"/>
      <c r="FP13" s="27"/>
      <c r="FQ13" s="27"/>
      <c r="FR13" s="27"/>
      <c r="FS13" s="27"/>
      <c r="FT13" s="27"/>
      <c r="FU13" s="27"/>
      <c r="FV13" s="27"/>
      <c r="FW13" s="27"/>
      <c r="FX13" s="27"/>
      <c r="FY13" s="27"/>
      <c r="FZ13" s="27"/>
      <c r="GA13" s="177"/>
      <c r="GB13" s="177"/>
      <c r="GC13" s="177"/>
      <c r="GD13" s="177"/>
      <c r="GE13" s="177"/>
      <c r="GF13" s="177"/>
      <c r="GG13" s="177"/>
      <c r="GH13" s="27"/>
      <c r="GI13" s="27"/>
      <c r="GJ13" s="27"/>
      <c r="GK13" s="27"/>
      <c r="GL13" s="27"/>
      <c r="GM13" s="27"/>
      <c r="GN13" s="27"/>
      <c r="GO13" s="27"/>
      <c r="GP13" s="27"/>
      <c r="GQ13" s="27"/>
      <c r="GR13" s="27"/>
      <c r="GS13" s="177"/>
      <c r="GT13" s="177"/>
      <c r="GU13" s="177"/>
      <c r="GV13" s="177"/>
      <c r="GW13" s="177"/>
      <c r="GX13" s="177"/>
      <c r="GY13" s="121"/>
      <c r="HC13" s="3"/>
      <c r="HE13" s="38"/>
      <c r="HF13" s="55"/>
      <c r="HG13" s="38"/>
      <c r="HH13" s="38"/>
      <c r="HL13" s="184"/>
      <c r="HM13" s="95"/>
      <c r="HN13" s="185"/>
      <c r="HO13" s="189"/>
      <c r="HP13" s="185"/>
      <c r="HQ13" s="185"/>
      <c r="HR13" s="121"/>
      <c r="HV13" s="211"/>
      <c r="HX13" s="212"/>
      <c r="HY13" s="213"/>
      <c r="HZ13" s="212"/>
      <c r="IA13" s="219"/>
      <c r="IE13" s="211"/>
      <c r="IG13" s="212"/>
      <c r="IH13" s="213"/>
      <c r="II13" s="212"/>
      <c r="IJ13" s="219"/>
      <c r="IN13" s="211"/>
      <c r="IP13" s="212"/>
      <c r="IQ13" s="213"/>
      <c r="IR13" s="212"/>
      <c r="IS13" s="212"/>
      <c r="IW13" s="211"/>
      <c r="IY13" s="212"/>
      <c r="IZ13" s="213"/>
      <c r="JA13" s="212"/>
      <c r="JB13" s="212"/>
    </row>
    <row r="14" spans="1:262" x14ac:dyDescent="0.2">
      <c r="A14" s="3" t="s">
        <v>24</v>
      </c>
      <c r="B14">
        <v>1228</v>
      </c>
      <c r="C14">
        <v>41</v>
      </c>
      <c r="D14">
        <v>3.38</v>
      </c>
      <c r="E14">
        <v>0.32500000000000001</v>
      </c>
      <c r="F14" t="s">
        <v>29</v>
      </c>
      <c r="G14" t="s">
        <v>124</v>
      </c>
      <c r="H14" s="20"/>
      <c r="I14" s="21"/>
      <c r="J14">
        <v>399</v>
      </c>
      <c r="K14" s="94">
        <f t="shared" si="2"/>
        <v>6.3452159999999997</v>
      </c>
      <c r="L14" s="94">
        <v>416.14</v>
      </c>
      <c r="M14" s="94">
        <f t="shared" si="3"/>
        <v>819.59039999999993</v>
      </c>
      <c r="N14" s="95">
        <f t="shared" si="4"/>
        <v>5822396.6399999997</v>
      </c>
      <c r="O14" s="96">
        <f t="shared" si="5"/>
        <v>2275622488.7999997</v>
      </c>
      <c r="P14" s="95">
        <f t="shared" si="6"/>
        <v>4545421920</v>
      </c>
      <c r="Q14">
        <v>0.33</v>
      </c>
      <c r="R14" s="27">
        <f t="shared" si="7"/>
        <v>835.47459072000004</v>
      </c>
      <c r="S14" s="27">
        <f t="shared" si="8"/>
        <v>54793.1538</v>
      </c>
      <c r="T14" s="27">
        <f t="shared" si="9"/>
        <v>107915.467968</v>
      </c>
      <c r="U14">
        <f t="shared" si="10"/>
        <v>766634965.58879995</v>
      </c>
      <c r="V14" s="27">
        <f t="shared" si="11"/>
        <v>299631213100.29596</v>
      </c>
      <c r="W14" s="27">
        <f t="shared" si="12"/>
        <v>598495704206.40002</v>
      </c>
      <c r="X14" s="18"/>
      <c r="Y14">
        <v>2.3999999999999998E-3</v>
      </c>
      <c r="Z14">
        <v>0.99760000000000004</v>
      </c>
      <c r="AA14" s="94">
        <f t="shared" si="13"/>
        <v>2.0051390177279997</v>
      </c>
      <c r="AB14" s="94">
        <f t="shared" si="14"/>
        <v>131.50356911999998</v>
      </c>
      <c r="AC14" s="94">
        <f t="shared" si="15"/>
        <v>258.99712312319997</v>
      </c>
      <c r="AD14">
        <f t="shared" si="16"/>
        <v>1839923.9174131197</v>
      </c>
      <c r="AE14" s="27">
        <f t="shared" si="44"/>
        <v>719114911.44071019</v>
      </c>
      <c r="AF14" s="27">
        <f t="shared" si="17"/>
        <v>1436389690.09536</v>
      </c>
      <c r="AG14" s="94">
        <f t="shared" si="18"/>
        <v>833.46945170227207</v>
      </c>
      <c r="AH14" s="94">
        <f t="shared" si="19"/>
        <v>54661.650230880005</v>
      </c>
      <c r="AI14" s="94">
        <f t="shared" si="20"/>
        <v>107656.47084487681</v>
      </c>
      <c r="AJ14" s="27">
        <f t="shared" si="21"/>
        <v>764795041.67138684</v>
      </c>
      <c r="AK14" s="95">
        <f t="shared" si="22"/>
        <v>298912098188.85529</v>
      </c>
      <c r="AL14" s="27">
        <f t="shared" si="23"/>
        <v>597059314516.30469</v>
      </c>
      <c r="AM14" s="27"/>
      <c r="AN14" s="27"/>
      <c r="AO14" s="27"/>
      <c r="AP14" s="27"/>
      <c r="AQ14" s="27"/>
      <c r="AR14" s="27"/>
      <c r="AS14" s="1"/>
      <c r="AT14" s="152"/>
      <c r="AU14" s="152"/>
      <c r="AV14" s="152"/>
      <c r="AW14" s="152"/>
      <c r="AX14" s="152"/>
      <c r="AY14" s="18"/>
      <c r="AZ14">
        <v>167</v>
      </c>
      <c r="BA14" s="34">
        <f t="shared" si="24"/>
        <v>1.906392694063927E-2</v>
      </c>
      <c r="BB14" s="34">
        <f t="shared" si="25"/>
        <v>0.9809360730593607</v>
      </c>
      <c r="BC14" s="94">
        <f t="shared" si="26"/>
        <v>15.889200734506785</v>
      </c>
      <c r="BD14" s="94">
        <f t="shared" si="27"/>
        <v>7.9446003672533925</v>
      </c>
      <c r="BE14" s="94">
        <f t="shared" si="28"/>
        <v>825.52485133501864</v>
      </c>
      <c r="BF14">
        <f t="shared" si="29"/>
        <v>14579996.798986485</v>
      </c>
      <c r="BG14">
        <f t="shared" si="30"/>
        <v>7289998.3994932426</v>
      </c>
      <c r="BH14">
        <f t="shared" si="31"/>
        <v>757505043.2718935</v>
      </c>
      <c r="BI14" s="27"/>
      <c r="BJ14" s="27"/>
      <c r="BM14" s="94">
        <f t="shared" si="32"/>
        <v>1042.065706456274</v>
      </c>
      <c r="BN14" s="94">
        <f t="shared" si="33"/>
        <v>521.03285322813701</v>
      </c>
      <c r="BO14" s="94">
        <f t="shared" si="34"/>
        <v>54140.617377651863</v>
      </c>
      <c r="BP14" s="95">
        <f t="shared" si="35"/>
        <v>5698438401.5455294</v>
      </c>
      <c r="BQ14" s="95">
        <f t="shared" si="36"/>
        <v>2849219200.7727647</v>
      </c>
      <c r="BR14" s="95">
        <f t="shared" si="37"/>
        <v>296062878988.08252</v>
      </c>
      <c r="BW14" s="94">
        <f t="shared" si="38"/>
        <v>2052.355094873793</v>
      </c>
      <c r="BX14" s="94">
        <f t="shared" si="39"/>
        <v>1026.1775474368965</v>
      </c>
      <c r="BY14" s="94">
        <f t="shared" si="40"/>
        <v>106630.2932974399</v>
      </c>
      <c r="BZ14" s="95">
        <f t="shared" si="41"/>
        <v>11382295151.166996</v>
      </c>
      <c r="CA14" s="95">
        <f t="shared" si="42"/>
        <v>5691147575.583498</v>
      </c>
      <c r="CB14" s="95">
        <f t="shared" si="43"/>
        <v>591368166940.72119</v>
      </c>
      <c r="CG14" s="18"/>
      <c r="CK14" s="3"/>
      <c r="CN14" s="95"/>
      <c r="CQ14" s="3"/>
      <c r="CR14" s="95"/>
      <c r="CT14" s="95"/>
      <c r="CV14" s="95"/>
      <c r="CW14" s="3"/>
      <c r="CX14" s="95"/>
      <c r="CZ14" s="95"/>
      <c r="DB14" s="95"/>
      <c r="DC14" s="117"/>
      <c r="DG14" s="3"/>
      <c r="DM14" s="3"/>
      <c r="DR14" s="95"/>
      <c r="DS14" s="3"/>
      <c r="DV14" s="95"/>
      <c r="DW14" s="95"/>
      <c r="DX14" s="95"/>
      <c r="DY14" s="121"/>
      <c r="ED14" s="27"/>
      <c r="EE14" s="27"/>
      <c r="EF14" s="27"/>
      <c r="EG14" s="27"/>
      <c r="FL14" s="121"/>
      <c r="FO14" s="27"/>
      <c r="FP14" s="27"/>
      <c r="FQ14" s="27"/>
      <c r="FR14" s="27"/>
      <c r="FS14" s="27"/>
      <c r="FT14" s="27"/>
      <c r="FU14" s="27"/>
      <c r="FV14" s="27"/>
      <c r="FW14" s="27"/>
      <c r="FX14" s="27"/>
      <c r="FY14" s="27"/>
      <c r="FZ14" s="27"/>
      <c r="GA14" s="177"/>
      <c r="GB14" s="177"/>
      <c r="GC14" s="177"/>
      <c r="GD14" s="177"/>
      <c r="GE14" s="177"/>
      <c r="GF14" s="177"/>
      <c r="GG14" s="177"/>
      <c r="GH14" s="27"/>
      <c r="GI14" s="27"/>
      <c r="GJ14" s="27"/>
      <c r="GK14" s="27"/>
      <c r="GL14" s="27"/>
      <c r="GM14" s="27"/>
      <c r="GN14" s="27"/>
      <c r="GO14" s="27"/>
      <c r="GP14" s="27"/>
      <c r="GQ14" s="27"/>
      <c r="GR14" s="27"/>
      <c r="GS14" s="177"/>
      <c r="GT14" s="177"/>
      <c r="GU14" s="177"/>
      <c r="GV14" s="177"/>
      <c r="GW14" s="177"/>
      <c r="GX14" s="177"/>
      <c r="GY14" s="121"/>
      <c r="HC14" s="3"/>
      <c r="HE14" s="38"/>
      <c r="HF14" s="55"/>
      <c r="HG14" s="38"/>
      <c r="HH14" s="38"/>
      <c r="HL14" s="184"/>
      <c r="HM14" s="95"/>
      <c r="HN14" s="185"/>
      <c r="HO14" s="189"/>
      <c r="HP14" s="185"/>
      <c r="HQ14" s="185"/>
      <c r="HR14" s="121"/>
      <c r="HV14" s="211"/>
      <c r="HX14" s="212"/>
      <c r="HY14" s="213"/>
      <c r="HZ14" s="212"/>
      <c r="IA14" s="219"/>
      <c r="IE14" s="211"/>
      <c r="IG14" s="212"/>
      <c r="IH14" s="213"/>
      <c r="II14" s="212"/>
      <c r="IJ14" s="219"/>
      <c r="IN14" s="211"/>
      <c r="IP14" s="212"/>
      <c r="IQ14" s="213"/>
      <c r="IR14" s="212"/>
      <c r="IS14" s="212"/>
      <c r="IW14" s="211"/>
      <c r="IY14" s="212"/>
      <c r="IZ14" s="213"/>
      <c r="JA14" s="212"/>
      <c r="JB14" s="212"/>
    </row>
    <row r="15" spans="1:262" x14ac:dyDescent="0.2">
      <c r="A15" s="3" t="s">
        <v>31</v>
      </c>
      <c r="B15">
        <v>1379</v>
      </c>
      <c r="C15">
        <v>6</v>
      </c>
      <c r="D15">
        <v>0.59</v>
      </c>
      <c r="F15" t="s">
        <v>32</v>
      </c>
      <c r="G15" t="s">
        <v>30</v>
      </c>
      <c r="H15" s="20"/>
      <c r="I15" s="21"/>
      <c r="J15">
        <v>6</v>
      </c>
      <c r="K15" s="94">
        <f t="shared" si="2"/>
        <v>6.3452159999999997</v>
      </c>
      <c r="L15" s="94">
        <v>416.14</v>
      </c>
      <c r="M15" s="94">
        <f t="shared" si="3"/>
        <v>819.59039999999993</v>
      </c>
      <c r="N15" s="95">
        <f t="shared" si="4"/>
        <v>5822396.6399999997</v>
      </c>
      <c r="O15" s="96">
        <f t="shared" si="5"/>
        <v>2275622488.7999997</v>
      </c>
      <c r="P15" s="95">
        <f t="shared" si="6"/>
        <v>4545421920</v>
      </c>
      <c r="Q15">
        <v>0.59</v>
      </c>
      <c r="R15" s="27">
        <f t="shared" si="7"/>
        <v>22.462064639999998</v>
      </c>
      <c r="S15" s="27">
        <f t="shared" si="8"/>
        <v>1473.1356000000001</v>
      </c>
      <c r="T15" s="27">
        <f t="shared" si="9"/>
        <v>2901.3500159999994</v>
      </c>
      <c r="U15">
        <f t="shared" si="10"/>
        <v>20611284.105599996</v>
      </c>
      <c r="V15" s="27">
        <f t="shared" si="11"/>
        <v>8055703610.3519993</v>
      </c>
      <c r="W15" s="27">
        <f t="shared" si="12"/>
        <v>16090793596.799999</v>
      </c>
      <c r="X15" s="18"/>
      <c r="Y15">
        <v>2.3999999999999998E-3</v>
      </c>
      <c r="Z15">
        <v>0.99760000000000004</v>
      </c>
      <c r="AA15" s="94">
        <f t="shared" si="13"/>
        <v>5.3908955135999991E-2</v>
      </c>
      <c r="AB15" s="94">
        <f t="shared" si="14"/>
        <v>3.5355254399999998</v>
      </c>
      <c r="AC15" s="94">
        <f t="shared" si="15"/>
        <v>6.9632400383999977</v>
      </c>
      <c r="AD15">
        <f t="shared" si="16"/>
        <v>49467.081853439988</v>
      </c>
      <c r="AE15" s="27">
        <f t="shared" si="44"/>
        <v>19333688.664844796</v>
      </c>
      <c r="AF15" s="27">
        <f t="shared" si="17"/>
        <v>38617904.632319994</v>
      </c>
      <c r="AG15" s="94">
        <f t="shared" si="18"/>
        <v>22.408155684863999</v>
      </c>
      <c r="AH15" s="94">
        <f t="shared" si="19"/>
        <v>1469.6000745600002</v>
      </c>
      <c r="AI15" s="94">
        <f t="shared" si="20"/>
        <v>2894.3867759615996</v>
      </c>
      <c r="AJ15" s="27">
        <f t="shared" si="21"/>
        <v>20561817.023746558</v>
      </c>
      <c r="AK15" s="95">
        <f t="shared" si="22"/>
        <v>8036369921.6871548</v>
      </c>
      <c r="AL15" s="27">
        <f t="shared" si="23"/>
        <v>16052175692.167681</v>
      </c>
      <c r="AM15" s="27"/>
      <c r="AN15" s="27"/>
      <c r="AO15" s="27"/>
      <c r="AP15" s="27"/>
      <c r="AQ15" s="27"/>
      <c r="AR15" s="27"/>
      <c r="AS15" s="1"/>
      <c r="AT15" s="152"/>
      <c r="AU15" s="152"/>
      <c r="AV15" s="152"/>
      <c r="AW15" s="152"/>
      <c r="AX15" s="152"/>
      <c r="AY15" s="18"/>
      <c r="AZ15">
        <v>1315</v>
      </c>
      <c r="BA15" s="34">
        <f t="shared" si="24"/>
        <v>0.15011415525114155</v>
      </c>
      <c r="BB15" s="34">
        <f t="shared" si="25"/>
        <v>0.84988584474885842</v>
      </c>
      <c r="BC15" s="94">
        <f t="shared" si="26"/>
        <v>3.3637813613694245</v>
      </c>
      <c r="BD15" s="94">
        <f t="shared" si="27"/>
        <v>1.6818906806847123</v>
      </c>
      <c r="BE15" s="94">
        <f t="shared" si="28"/>
        <v>20.726265004179286</v>
      </c>
      <c r="BF15">
        <f t="shared" si="29"/>
        <v>3086619.7929482562</v>
      </c>
      <c r="BG15">
        <f t="shared" si="30"/>
        <v>1543309.8964741281</v>
      </c>
      <c r="BH15">
        <f t="shared" si="31"/>
        <v>19018507.127272427</v>
      </c>
      <c r="BI15" s="27"/>
      <c r="BJ15" s="27"/>
      <c r="BM15" s="94">
        <f t="shared" si="32"/>
        <v>220.60777374958906</v>
      </c>
      <c r="BN15" s="94">
        <f t="shared" si="33"/>
        <v>110.30388687479453</v>
      </c>
      <c r="BO15" s="94">
        <f t="shared" si="34"/>
        <v>1359.2961876852055</v>
      </c>
      <c r="BP15" s="95">
        <f t="shared" si="35"/>
        <v>1206372882.0797498</v>
      </c>
      <c r="BQ15" s="95">
        <f t="shared" si="36"/>
        <v>603186441.03987491</v>
      </c>
      <c r="BR15" s="95">
        <f t="shared" si="37"/>
        <v>7433183480.6472797</v>
      </c>
      <c r="BW15" s="94">
        <f t="shared" si="38"/>
        <v>434.4884258435506</v>
      </c>
      <c r="BX15" s="94">
        <f t="shared" si="39"/>
        <v>217.2442129217753</v>
      </c>
      <c r="BY15" s="94">
        <f t="shared" si="40"/>
        <v>2677.1425630398239</v>
      </c>
      <c r="BZ15" s="95">
        <f t="shared" si="41"/>
        <v>2409658793.9726596</v>
      </c>
      <c r="CA15" s="95">
        <f t="shared" si="42"/>
        <v>1204829396.9863298</v>
      </c>
      <c r="CB15" s="95">
        <f t="shared" si="43"/>
        <v>14847346295.181351</v>
      </c>
      <c r="CG15" s="18"/>
      <c r="CK15" s="3"/>
      <c r="CN15" s="95"/>
      <c r="CQ15" s="3"/>
      <c r="CR15" s="95"/>
      <c r="CT15" s="95"/>
      <c r="CV15" s="95"/>
      <c r="CW15" s="3"/>
      <c r="CX15" s="95"/>
      <c r="CZ15" s="95"/>
      <c r="DB15" s="95"/>
      <c r="DC15" s="117"/>
      <c r="DG15" s="3"/>
      <c r="DM15" s="3"/>
      <c r="DR15" s="95"/>
      <c r="DS15" s="3"/>
      <c r="DV15" s="95"/>
      <c r="DW15" s="95"/>
      <c r="DX15" s="95"/>
      <c r="DY15" s="121"/>
      <c r="ED15" s="27"/>
      <c r="EE15" s="27"/>
      <c r="EF15" s="27"/>
      <c r="EG15" s="27"/>
      <c r="FL15" s="121"/>
      <c r="FO15" s="27"/>
      <c r="FP15" s="27"/>
      <c r="FQ15" s="27"/>
      <c r="FR15" s="27"/>
      <c r="FS15" s="27"/>
      <c r="FT15" s="27"/>
      <c r="FU15" s="27"/>
      <c r="FV15" s="27"/>
      <c r="FW15" s="27"/>
      <c r="FX15" s="27"/>
      <c r="FY15" s="27"/>
      <c r="FZ15" s="27"/>
      <c r="GA15" s="177"/>
      <c r="GB15" s="177"/>
      <c r="GC15" s="177"/>
      <c r="GD15" s="177"/>
      <c r="GE15" s="177"/>
      <c r="GF15" s="177"/>
      <c r="GG15" s="177"/>
      <c r="GH15" s="27"/>
      <c r="GI15" s="27"/>
      <c r="GJ15" s="27"/>
      <c r="GK15" s="27"/>
      <c r="GL15" s="27"/>
      <c r="GM15" s="27"/>
      <c r="GN15" s="27"/>
      <c r="GO15" s="27"/>
      <c r="GP15" s="27"/>
      <c r="GQ15" s="27"/>
      <c r="GR15" s="27"/>
      <c r="GS15" s="177"/>
      <c r="GT15" s="177"/>
      <c r="GU15" s="177"/>
      <c r="GV15" s="177"/>
      <c r="GW15" s="177"/>
      <c r="GX15" s="177"/>
      <c r="GY15" s="121"/>
      <c r="HC15" s="3"/>
      <c r="HE15" s="38"/>
      <c r="HF15" s="55"/>
      <c r="HG15" s="38"/>
      <c r="HH15" s="38"/>
      <c r="HL15" s="184"/>
      <c r="HM15" s="95"/>
      <c r="HN15" s="185"/>
      <c r="HO15" s="189"/>
      <c r="HP15" s="185"/>
      <c r="HQ15" s="185"/>
      <c r="HR15" s="121"/>
      <c r="HV15" s="211"/>
      <c r="HX15" s="212"/>
      <c r="HY15" s="213"/>
      <c r="HZ15" s="212"/>
      <c r="IA15" s="219"/>
      <c r="IE15" s="211"/>
      <c r="IG15" s="212"/>
      <c r="IH15" s="213"/>
      <c r="II15" s="212"/>
      <c r="IJ15" s="219"/>
      <c r="IN15" s="211"/>
      <c r="IP15" s="212"/>
      <c r="IQ15" s="213"/>
      <c r="IR15" s="212"/>
      <c r="IS15" s="212"/>
      <c r="IW15" s="211"/>
      <c r="IY15" s="212"/>
      <c r="IZ15" s="213"/>
      <c r="JA15" s="212"/>
      <c r="JB15" s="212"/>
    </row>
    <row r="16" spans="1:262" x14ac:dyDescent="0.2">
      <c r="A16" s="3" t="s">
        <v>33</v>
      </c>
      <c r="B16">
        <v>1179</v>
      </c>
      <c r="C16">
        <v>10</v>
      </c>
      <c r="D16">
        <v>2.5</v>
      </c>
      <c r="E16">
        <v>0.625</v>
      </c>
      <c r="F16" t="s">
        <v>34</v>
      </c>
      <c r="G16" t="s">
        <v>11</v>
      </c>
      <c r="H16" s="20"/>
      <c r="I16" s="21"/>
      <c r="J16">
        <v>737</v>
      </c>
      <c r="K16" s="94">
        <f t="shared" si="2"/>
        <v>6.3452159999999997</v>
      </c>
      <c r="L16" s="94">
        <v>416.14</v>
      </c>
      <c r="M16" s="94">
        <f t="shared" si="3"/>
        <v>819.59039999999993</v>
      </c>
      <c r="N16" s="95">
        <f t="shared" si="4"/>
        <v>5822396.6399999997</v>
      </c>
      <c r="O16" s="96">
        <f t="shared" si="5"/>
        <v>2275622488.7999997</v>
      </c>
      <c r="P16" s="95">
        <f t="shared" si="6"/>
        <v>4545421920</v>
      </c>
      <c r="Q16">
        <v>0.63</v>
      </c>
      <c r="R16" s="27">
        <f t="shared" si="7"/>
        <v>2946.1472409599996</v>
      </c>
      <c r="S16" s="27">
        <f t="shared" si="8"/>
        <v>193217.96340000001</v>
      </c>
      <c r="T16" s="27">
        <f t="shared" si="9"/>
        <v>380544.01862400002</v>
      </c>
      <c r="U16">
        <f t="shared" si="10"/>
        <v>2703396983.9183998</v>
      </c>
      <c r="V16" s="27">
        <f t="shared" si="11"/>
        <v>1056594277774.7279</v>
      </c>
      <c r="W16" s="27">
        <f t="shared" si="12"/>
        <v>2110484851675.2</v>
      </c>
      <c r="X16" s="18"/>
      <c r="Y16">
        <v>2.3999999999999998E-3</v>
      </c>
      <c r="Z16">
        <v>0.99760000000000004</v>
      </c>
      <c r="AA16" s="94">
        <f t="shared" si="13"/>
        <v>7.0707533783039986</v>
      </c>
      <c r="AB16" s="94">
        <f t="shared" si="14"/>
        <v>463.72311215999997</v>
      </c>
      <c r="AC16" s="94">
        <f t="shared" si="15"/>
        <v>913.30564469759997</v>
      </c>
      <c r="AD16">
        <f t="shared" si="16"/>
        <v>6488152.7614041585</v>
      </c>
      <c r="AE16" s="27">
        <f t="shared" si="44"/>
        <v>2535826266.6593466</v>
      </c>
      <c r="AF16" s="27">
        <f t="shared" si="17"/>
        <v>5065163644.0204792</v>
      </c>
      <c r="AG16" s="94">
        <f t="shared" si="18"/>
        <v>2939.0764875816958</v>
      </c>
      <c r="AH16" s="94">
        <f t="shared" si="19"/>
        <v>192754.24028784002</v>
      </c>
      <c r="AI16" s="94">
        <f t="shared" si="20"/>
        <v>379630.71297930245</v>
      </c>
      <c r="AJ16" s="27">
        <f t="shared" si="21"/>
        <v>2696908831.1569958</v>
      </c>
      <c r="AK16" s="95">
        <f t="shared" si="22"/>
        <v>1054058451508.0686</v>
      </c>
      <c r="AL16" s="27">
        <f t="shared" si="23"/>
        <v>2105419688031.1794</v>
      </c>
      <c r="AM16" s="27"/>
      <c r="AN16" s="27"/>
      <c r="AO16" s="27"/>
      <c r="AP16" s="27"/>
      <c r="AQ16" s="27"/>
      <c r="AR16" s="27"/>
      <c r="AS16" s="1"/>
      <c r="AT16" s="152"/>
      <c r="AU16" s="152"/>
      <c r="AV16" s="152"/>
      <c r="AW16" s="152"/>
      <c r="AX16" s="152"/>
      <c r="AY16" s="18"/>
      <c r="AZ16">
        <v>149</v>
      </c>
      <c r="BA16" s="34">
        <f t="shared" si="24"/>
        <v>1.7009132420091323E-2</v>
      </c>
      <c r="BB16" s="34">
        <f t="shared" si="25"/>
        <v>0.98299086757990872</v>
      </c>
      <c r="BC16" s="94">
        <f t="shared" si="26"/>
        <v>49.99114117005395</v>
      </c>
      <c r="BD16" s="94">
        <f t="shared" si="27"/>
        <v>24.995570585026975</v>
      </c>
      <c r="BE16" s="94">
        <f t="shared" si="28"/>
        <v>2914.0809169966692</v>
      </c>
      <c r="BF16">
        <f t="shared" si="29"/>
        <v>45872079.434063055</v>
      </c>
      <c r="BG16">
        <f t="shared" si="30"/>
        <v>22936039.717031527</v>
      </c>
      <c r="BH16">
        <f t="shared" si="31"/>
        <v>2673972791.4399643</v>
      </c>
      <c r="BI16" s="27"/>
      <c r="BJ16" s="27"/>
      <c r="BM16" s="94">
        <f t="shared" si="32"/>
        <v>3278.5823975899725</v>
      </c>
      <c r="BN16" s="94">
        <f t="shared" si="33"/>
        <v>1639.2911987949863</v>
      </c>
      <c r="BO16" s="94">
        <f t="shared" si="34"/>
        <v>191114.94908904505</v>
      </c>
      <c r="BP16" s="95">
        <f t="shared" si="35"/>
        <v>17928619780.217148</v>
      </c>
      <c r="BQ16" s="95">
        <f t="shared" si="36"/>
        <v>8964309890.1085739</v>
      </c>
      <c r="BR16" s="95">
        <f t="shared" si="37"/>
        <v>1045094141617.9601</v>
      </c>
      <c r="BW16" s="94">
        <f t="shared" si="38"/>
        <v>6457.1890677986366</v>
      </c>
      <c r="BX16" s="94">
        <f t="shared" si="39"/>
        <v>3228.5945338993183</v>
      </c>
      <c r="BY16" s="94">
        <f t="shared" si="40"/>
        <v>376402.11844540318</v>
      </c>
      <c r="BZ16" s="95">
        <f t="shared" si="41"/>
        <v>35811362273.589691</v>
      </c>
      <c r="CA16" s="95">
        <f t="shared" si="42"/>
        <v>17905681136.794846</v>
      </c>
      <c r="CB16" s="95">
        <f t="shared" si="43"/>
        <v>2087514006894.3848</v>
      </c>
      <c r="CG16" s="18"/>
      <c r="CK16" s="3"/>
      <c r="CN16" s="95"/>
      <c r="CQ16" s="3"/>
      <c r="CR16" s="95"/>
      <c r="CT16" s="95"/>
      <c r="CV16" s="95"/>
      <c r="CW16" s="3"/>
      <c r="CX16" s="95"/>
      <c r="CZ16" s="95"/>
      <c r="DB16" s="95"/>
      <c r="DC16" s="117"/>
      <c r="DG16" s="3"/>
      <c r="DM16" s="3"/>
      <c r="DR16" s="95"/>
      <c r="DS16" s="3"/>
      <c r="DV16" s="95"/>
      <c r="DW16" s="95"/>
      <c r="DX16" s="95"/>
      <c r="DY16" s="121"/>
      <c r="ED16" s="27"/>
      <c r="EE16" s="27"/>
      <c r="EF16" s="27"/>
      <c r="EG16" s="27"/>
      <c r="FL16" s="121"/>
      <c r="FO16" s="27"/>
      <c r="FP16" s="27"/>
      <c r="FQ16" s="27"/>
      <c r="FR16" s="27"/>
      <c r="FS16" s="27"/>
      <c r="FT16" s="27"/>
      <c r="FU16" s="27"/>
      <c r="FV16" s="27"/>
      <c r="FW16" s="27"/>
      <c r="FX16" s="27"/>
      <c r="FY16" s="27"/>
      <c r="FZ16" s="27"/>
      <c r="GA16" s="177"/>
      <c r="GB16" s="177"/>
      <c r="GC16" s="177"/>
      <c r="GD16" s="177"/>
      <c r="GE16" s="177"/>
      <c r="GF16" s="177"/>
      <c r="GG16" s="177"/>
      <c r="GH16" s="27"/>
      <c r="GI16" s="27"/>
      <c r="GJ16" s="27"/>
      <c r="GK16" s="27"/>
      <c r="GL16" s="27"/>
      <c r="GM16" s="27"/>
      <c r="GN16" s="27"/>
      <c r="GO16" s="27"/>
      <c r="GP16" s="27"/>
      <c r="GQ16" s="27"/>
      <c r="GR16" s="27"/>
      <c r="GS16" s="177"/>
      <c r="GT16" s="177"/>
      <c r="GU16" s="177"/>
      <c r="GV16" s="177"/>
      <c r="GW16" s="177"/>
      <c r="GX16" s="177"/>
      <c r="GY16" s="121"/>
      <c r="HC16" s="3"/>
      <c r="HE16" s="38"/>
      <c r="HF16" s="55"/>
      <c r="HG16" s="38"/>
      <c r="HH16" s="38"/>
      <c r="HL16" s="184"/>
      <c r="HM16" s="95"/>
      <c r="HN16" s="185"/>
      <c r="HO16" s="189"/>
      <c r="HP16" s="185"/>
      <c r="HQ16" s="185"/>
      <c r="HR16" s="121"/>
      <c r="HV16" s="211"/>
      <c r="HX16" s="212"/>
      <c r="HY16" s="213"/>
      <c r="HZ16" s="212"/>
      <c r="IA16" s="219"/>
      <c r="IE16" s="211"/>
      <c r="IG16" s="212"/>
      <c r="IH16" s="213"/>
      <c r="II16" s="212"/>
      <c r="IJ16" s="219"/>
      <c r="IN16" s="211"/>
      <c r="IP16" s="212"/>
      <c r="IQ16" s="213"/>
      <c r="IR16" s="212"/>
      <c r="IS16" s="212"/>
      <c r="IW16" s="211"/>
      <c r="IY16" s="212"/>
      <c r="IZ16" s="213"/>
      <c r="JA16" s="212"/>
      <c r="JB16" s="212"/>
    </row>
    <row r="17" spans="1:262" x14ac:dyDescent="0.2">
      <c r="A17" s="3" t="s">
        <v>35</v>
      </c>
      <c r="B17">
        <v>1252</v>
      </c>
      <c r="C17">
        <v>1250</v>
      </c>
      <c r="D17">
        <v>0.08</v>
      </c>
      <c r="F17" t="s">
        <v>36</v>
      </c>
      <c r="G17" t="s">
        <v>126</v>
      </c>
      <c r="H17" s="20"/>
      <c r="I17" s="21"/>
      <c r="J17">
        <v>100</v>
      </c>
      <c r="K17" s="94">
        <f t="shared" si="2"/>
        <v>6.3452159999999997</v>
      </c>
      <c r="L17" s="94">
        <v>416.14</v>
      </c>
      <c r="M17" s="94">
        <f t="shared" si="3"/>
        <v>819.59039999999993</v>
      </c>
      <c r="N17" s="95">
        <f t="shared" si="4"/>
        <v>5822396.6399999997</v>
      </c>
      <c r="O17" s="96">
        <f t="shared" si="5"/>
        <v>2275622488.7999997</v>
      </c>
      <c r="P17" s="95">
        <f t="shared" si="6"/>
        <v>4545421920</v>
      </c>
      <c r="Q17">
        <v>0.08</v>
      </c>
      <c r="R17" s="27">
        <f t="shared" si="7"/>
        <v>50.761727999999998</v>
      </c>
      <c r="S17" s="27">
        <f t="shared" si="8"/>
        <v>3329.12</v>
      </c>
      <c r="T17" s="27">
        <f t="shared" si="9"/>
        <v>6556.7231999999995</v>
      </c>
      <c r="U17">
        <f t="shared" si="10"/>
        <v>46579173.119999997</v>
      </c>
      <c r="V17" s="27">
        <f t="shared" si="11"/>
        <v>18204979910.399998</v>
      </c>
      <c r="W17" s="27">
        <f xml:space="preserve"> J17 * P17 * Q17</f>
        <v>36363375360</v>
      </c>
      <c r="X17" s="18"/>
      <c r="Y17">
        <v>2.3999999999999998E-3</v>
      </c>
      <c r="Z17">
        <v>0.99760000000000004</v>
      </c>
      <c r="AA17" s="94">
        <f t="shared" si="13"/>
        <v>0.12182814719999999</v>
      </c>
      <c r="AB17" s="94">
        <f t="shared" si="14"/>
        <v>7.9898879999999988</v>
      </c>
      <c r="AC17" s="94">
        <f t="shared" si="15"/>
        <v>15.736135679999997</v>
      </c>
      <c r="AD17">
        <f t="shared" si="16"/>
        <v>111790.01548799999</v>
      </c>
      <c r="AE17" s="27">
        <f t="shared" si="44"/>
        <v>43691951.784959994</v>
      </c>
      <c r="AF17" s="27">
        <f t="shared" si="17"/>
        <v>87272100.863999993</v>
      </c>
      <c r="AG17" s="94">
        <f t="shared" si="18"/>
        <v>50.639899852799999</v>
      </c>
      <c r="AH17" s="94">
        <f t="shared" si="19"/>
        <v>3321.1301119999998</v>
      </c>
      <c r="AI17" s="94">
        <f t="shared" si="20"/>
        <v>6540.9870643200002</v>
      </c>
      <c r="AJ17" s="27">
        <f t="shared" si="21"/>
        <v>46467383.104511999</v>
      </c>
      <c r="AK17" s="95">
        <f t="shared" si="22"/>
        <v>18161287958.61504</v>
      </c>
      <c r="AL17" s="27">
        <f t="shared" si="23"/>
        <v>36276103259.136002</v>
      </c>
      <c r="AM17" s="27"/>
      <c r="AN17" s="27"/>
      <c r="AO17" s="27"/>
      <c r="AP17" s="27"/>
      <c r="AQ17" s="27"/>
      <c r="AR17" s="27"/>
      <c r="AS17" s="1"/>
      <c r="AT17" s="152"/>
      <c r="AU17" s="152"/>
      <c r="AV17" s="152"/>
      <c r="AW17" s="152"/>
      <c r="AX17" s="152"/>
      <c r="AY17" s="18"/>
      <c r="AZ17">
        <v>1181</v>
      </c>
      <c r="BA17" s="34">
        <f t="shared" si="24"/>
        <v>0.13481735159817351</v>
      </c>
      <c r="BB17" s="34">
        <f t="shared" si="25"/>
        <v>0.86518264840182646</v>
      </c>
      <c r="BC17" s="94">
        <f t="shared" si="26"/>
        <v>6.8271371833512324</v>
      </c>
      <c r="BD17" s="94">
        <f t="shared" si="27"/>
        <v>3.4135685916756162</v>
      </c>
      <c r="BE17" s="94">
        <f t="shared" si="28"/>
        <v>47.226331261124379</v>
      </c>
      <c r="BF17">
        <f t="shared" si="29"/>
        <v>6264609.5258480217</v>
      </c>
      <c r="BG17">
        <f t="shared" si="30"/>
        <v>3132304.7629240109</v>
      </c>
      <c r="BH17">
        <f t="shared" si="31"/>
        <v>43335078.341587983</v>
      </c>
      <c r="BI17" s="27"/>
      <c r="BJ17" s="27"/>
      <c r="BM17" s="94">
        <f t="shared" si="32"/>
        <v>447.74596601278535</v>
      </c>
      <c r="BN17" s="94">
        <f t="shared" si="33"/>
        <v>223.87298300639267</v>
      </c>
      <c r="BO17" s="94">
        <f t="shared" si="34"/>
        <v>3097.2571289936068</v>
      </c>
      <c r="BP17" s="95">
        <f t="shared" si="35"/>
        <v>2448456744.1922789</v>
      </c>
      <c r="BQ17" s="95">
        <f t="shared" si="36"/>
        <v>1224228372.0961394</v>
      </c>
      <c r="BR17" s="95">
        <f t="shared" si="37"/>
        <v>16937059586.5189</v>
      </c>
      <c r="BW17" s="94">
        <f t="shared" si="38"/>
        <v>881.83855284953427</v>
      </c>
      <c r="BX17" s="94">
        <f t="shared" si="39"/>
        <v>440.91927642476713</v>
      </c>
      <c r="BY17" s="94">
        <f t="shared" si="40"/>
        <v>6100.0677878952329</v>
      </c>
      <c r="BZ17" s="95">
        <f t="shared" si="41"/>
        <v>4890648167.6985865</v>
      </c>
      <c r="CA17" s="95">
        <f t="shared" si="42"/>
        <v>2445324083.8492932</v>
      </c>
      <c r="CB17" s="95">
        <f t="shared" si="43"/>
        <v>33830779175.286709</v>
      </c>
      <c r="CG17" s="18"/>
      <c r="CK17" s="3"/>
      <c r="CN17" s="95"/>
      <c r="CQ17" s="3"/>
      <c r="CR17" s="95"/>
      <c r="CT17" s="95"/>
      <c r="CV17" s="95"/>
      <c r="CW17" s="3"/>
      <c r="CX17" s="95"/>
      <c r="CZ17" s="95"/>
      <c r="DB17" s="95"/>
      <c r="DC17" s="117"/>
      <c r="DG17" s="3"/>
      <c r="DM17" s="3"/>
      <c r="DR17" s="95"/>
      <c r="DS17" s="3"/>
      <c r="DV17" s="95"/>
      <c r="DW17" s="95"/>
      <c r="DX17" s="95"/>
      <c r="DY17" s="121"/>
      <c r="ED17" s="27"/>
      <c r="EE17" s="27"/>
      <c r="EF17" s="27"/>
      <c r="EG17" s="27"/>
      <c r="FL17" s="121"/>
      <c r="FO17" s="27"/>
      <c r="FP17" s="27"/>
      <c r="FQ17" s="27"/>
      <c r="FR17" s="27"/>
      <c r="FS17" s="27"/>
      <c r="FT17" s="27"/>
      <c r="FU17" s="27"/>
      <c r="FV17" s="27"/>
      <c r="FW17" s="27"/>
      <c r="FX17" s="27"/>
      <c r="FY17" s="27"/>
      <c r="FZ17" s="27"/>
      <c r="GA17" s="177"/>
      <c r="GB17" s="177"/>
      <c r="GC17" s="177"/>
      <c r="GD17" s="177"/>
      <c r="GE17" s="177"/>
      <c r="GF17" s="177"/>
      <c r="GG17" s="177"/>
      <c r="GH17" s="27"/>
      <c r="GI17" s="27"/>
      <c r="GJ17" s="27"/>
      <c r="GK17" s="27"/>
      <c r="GL17" s="27"/>
      <c r="GM17" s="27"/>
      <c r="GN17" s="27"/>
      <c r="GO17" s="27"/>
      <c r="GP17" s="27"/>
      <c r="GQ17" s="27"/>
      <c r="GR17" s="27"/>
      <c r="GS17" s="177"/>
      <c r="GT17" s="177"/>
      <c r="GU17" s="177"/>
      <c r="GV17" s="177"/>
      <c r="GW17" s="177"/>
      <c r="GX17" s="177"/>
      <c r="GY17" s="121"/>
      <c r="HC17" s="3"/>
      <c r="HE17" s="38"/>
      <c r="HF17" s="55"/>
      <c r="HG17" s="38"/>
      <c r="HH17" s="38"/>
      <c r="HL17" s="184"/>
      <c r="HM17" s="95"/>
      <c r="HN17" s="185"/>
      <c r="HO17" s="189"/>
      <c r="HP17" s="185"/>
      <c r="HQ17" s="185"/>
      <c r="HR17" s="121"/>
      <c r="HV17" s="211"/>
      <c r="HX17" s="212"/>
      <c r="HY17" s="213"/>
      <c r="HZ17" s="212"/>
      <c r="IA17" s="219"/>
      <c r="IE17" s="211"/>
      <c r="IG17" s="212"/>
      <c r="IH17" s="213"/>
      <c r="II17" s="212"/>
      <c r="IJ17" s="219"/>
      <c r="IN17" s="211"/>
      <c r="IP17" s="212"/>
      <c r="IQ17" s="213"/>
      <c r="IR17" s="212"/>
      <c r="IS17" s="212"/>
      <c r="IW17" s="211"/>
      <c r="IY17" s="212"/>
      <c r="IZ17" s="213"/>
      <c r="JA17" s="212"/>
      <c r="JB17" s="212"/>
    </row>
    <row r="18" spans="1:262" x14ac:dyDescent="0.2">
      <c r="A18" s="3" t="s">
        <v>37</v>
      </c>
      <c r="B18">
        <v>1186.5</v>
      </c>
      <c r="C18">
        <v>901</v>
      </c>
      <c r="D18">
        <v>0.69</v>
      </c>
      <c r="E18">
        <v>0.16500000000000001</v>
      </c>
      <c r="F18" t="s">
        <v>38</v>
      </c>
      <c r="G18" t="s">
        <v>16</v>
      </c>
      <c r="H18" s="20"/>
      <c r="I18" s="21"/>
      <c r="J18">
        <v>819</v>
      </c>
      <c r="K18" s="94">
        <f t="shared" si="2"/>
        <v>6.3452159999999997</v>
      </c>
      <c r="L18" s="94">
        <v>416.14</v>
      </c>
      <c r="M18" s="94">
        <f t="shared" si="3"/>
        <v>819.59039999999993</v>
      </c>
      <c r="N18" s="95">
        <f t="shared" si="4"/>
        <v>5822396.6399999997</v>
      </c>
      <c r="O18" s="96">
        <f t="shared" si="5"/>
        <v>2275622488.7999997</v>
      </c>
      <c r="P18" s="95">
        <f t="shared" si="6"/>
        <v>4545421920</v>
      </c>
      <c r="Q18">
        <v>0.17</v>
      </c>
      <c r="R18" s="27">
        <f t="shared" si="7"/>
        <v>883.44442368000011</v>
      </c>
      <c r="S18" s="27">
        <f t="shared" si="8"/>
        <v>57939.172200000001</v>
      </c>
      <c r="T18" s="27">
        <f t="shared" si="9"/>
        <v>114111.571392</v>
      </c>
      <c r="U18">
        <f t="shared" si="10"/>
        <v>810652284.18720007</v>
      </c>
      <c r="V18" s="27">
        <f t="shared" si="11"/>
        <v>316834919115.62396</v>
      </c>
      <c r="W18" s="27">
        <f t="shared" si="12"/>
        <v>632859093921.6001</v>
      </c>
      <c r="X18" s="18"/>
      <c r="Y18">
        <v>2.3999999999999998E-3</v>
      </c>
      <c r="Z18">
        <v>0.99760000000000004</v>
      </c>
      <c r="AA18" s="94">
        <f t="shared" si="13"/>
        <v>2.1202666168320001</v>
      </c>
      <c r="AB18" s="94">
        <f t="shared" si="14"/>
        <v>139.05401327999999</v>
      </c>
      <c r="AC18" s="94">
        <f t="shared" si="15"/>
        <v>273.86777134079995</v>
      </c>
      <c r="AD18">
        <f t="shared" si="16"/>
        <v>1945565.4820492801</v>
      </c>
      <c r="AE18" s="27">
        <f t="shared" si="44"/>
        <v>760403805.87749743</v>
      </c>
      <c r="AF18" s="27">
        <f t="shared" si="17"/>
        <v>1518861825.4118402</v>
      </c>
      <c r="AG18" s="94">
        <f t="shared" si="18"/>
        <v>881.32415706316817</v>
      </c>
      <c r="AH18" s="94">
        <f t="shared" si="19"/>
        <v>57800.118186720007</v>
      </c>
      <c r="AI18" s="94">
        <f t="shared" si="20"/>
        <v>113837.7036206592</v>
      </c>
      <c r="AJ18" s="27">
        <f t="shared" si="21"/>
        <v>808706718.70515084</v>
      </c>
      <c r="AK18" s="95">
        <f t="shared" si="22"/>
        <v>316074515309.74646</v>
      </c>
      <c r="AL18" s="27">
        <f t="shared" si="23"/>
        <v>631340232096.18823</v>
      </c>
      <c r="AM18" s="27"/>
      <c r="AN18" s="27"/>
      <c r="AO18" s="27"/>
      <c r="AP18" s="27"/>
      <c r="AQ18" s="27"/>
      <c r="AR18" s="27"/>
      <c r="AS18" s="1"/>
      <c r="AT18" s="152"/>
      <c r="AU18" s="152"/>
      <c r="AV18" s="152"/>
      <c r="AW18" s="152"/>
      <c r="AX18" s="152"/>
      <c r="AY18" s="18"/>
      <c r="AZ18">
        <v>171</v>
      </c>
      <c r="BA18" s="34">
        <f t="shared" si="24"/>
        <v>1.9520547945205479E-2</v>
      </c>
      <c r="BB18" s="34">
        <f t="shared" si="25"/>
        <v>0.98047945205479448</v>
      </c>
      <c r="BC18" s="94">
        <f t="shared" si="26"/>
        <v>17.203930463219379</v>
      </c>
      <c r="BD18" s="94">
        <f t="shared" si="27"/>
        <v>8.6019652316096895</v>
      </c>
      <c r="BE18" s="94">
        <f t="shared" si="28"/>
        <v>872.72219183155846</v>
      </c>
      <c r="BF18">
        <f t="shared" si="29"/>
        <v>15786398.276093697</v>
      </c>
      <c r="BG18">
        <f t="shared" si="30"/>
        <v>7893199.1380468486</v>
      </c>
      <c r="BH18">
        <f t="shared" si="31"/>
        <v>800813519.56710398</v>
      </c>
      <c r="BI18" s="27"/>
      <c r="BJ18" s="27"/>
      <c r="BM18" s="94">
        <f t="shared" si="32"/>
        <v>1128.2899783024111</v>
      </c>
      <c r="BN18" s="94">
        <f t="shared" si="33"/>
        <v>564.14498915120555</v>
      </c>
      <c r="BO18" s="94">
        <f t="shared" si="34"/>
        <v>57235.973197568797</v>
      </c>
      <c r="BP18" s="95">
        <f t="shared" si="35"/>
        <v>6169947730.3614893</v>
      </c>
      <c r="BQ18" s="95">
        <f t="shared" si="36"/>
        <v>3084973865.1807446</v>
      </c>
      <c r="BR18" s="95">
        <f t="shared" si="37"/>
        <v>312989541444.56567</v>
      </c>
      <c r="BW18" s="94">
        <f t="shared" si="38"/>
        <v>2222.1743514991695</v>
      </c>
      <c r="BX18" s="94">
        <f t="shared" si="39"/>
        <v>1111.0871757495847</v>
      </c>
      <c r="BY18" s="94">
        <f t="shared" si="40"/>
        <v>112726.61644490962</v>
      </c>
      <c r="BZ18" s="95">
        <f t="shared" si="41"/>
        <v>12324107270.370798</v>
      </c>
      <c r="CA18" s="95">
        <f t="shared" si="42"/>
        <v>6162053635.1853991</v>
      </c>
      <c r="CB18" s="95">
        <f t="shared" si="43"/>
        <v>625178178461.00281</v>
      </c>
      <c r="CG18" s="18"/>
      <c r="CK18" s="3"/>
      <c r="CN18" s="95"/>
      <c r="CQ18" s="3"/>
      <c r="CR18" s="95"/>
      <c r="CT18" s="95"/>
      <c r="CV18" s="95"/>
      <c r="CW18" s="3"/>
      <c r="CX18" s="95"/>
      <c r="CZ18" s="95"/>
      <c r="DB18" s="95"/>
      <c r="DC18" s="117"/>
      <c r="DG18" s="3"/>
      <c r="DM18" s="3"/>
      <c r="DR18" s="95"/>
      <c r="DS18" s="3"/>
      <c r="DV18" s="95"/>
      <c r="DW18" s="95"/>
      <c r="DX18" s="95"/>
      <c r="DY18" s="121"/>
      <c r="ED18" s="27"/>
      <c r="EE18" s="27"/>
      <c r="EF18" s="27"/>
      <c r="EG18" s="27"/>
      <c r="FL18" s="121"/>
      <c r="FO18" s="27"/>
      <c r="FP18" s="27"/>
      <c r="FQ18" s="27"/>
      <c r="FR18" s="27"/>
      <c r="FS18" s="27"/>
      <c r="FT18" s="27"/>
      <c r="FU18" s="27"/>
      <c r="FV18" s="27"/>
      <c r="FW18" s="27"/>
      <c r="FX18" s="27"/>
      <c r="FY18" s="27"/>
      <c r="FZ18" s="27"/>
      <c r="GA18" s="177"/>
      <c r="GB18" s="177"/>
      <c r="GC18" s="177"/>
      <c r="GD18" s="177"/>
      <c r="GE18" s="177"/>
      <c r="GF18" s="177"/>
      <c r="GG18" s="177"/>
      <c r="GH18" s="27"/>
      <c r="GI18" s="27"/>
      <c r="GJ18" s="27"/>
      <c r="GK18" s="27"/>
      <c r="GL18" s="27"/>
      <c r="GM18" s="27"/>
      <c r="GN18" s="27"/>
      <c r="GO18" s="27"/>
      <c r="GP18" s="27"/>
      <c r="GQ18" s="27"/>
      <c r="GR18" s="27"/>
      <c r="GS18" s="177"/>
      <c r="GT18" s="177"/>
      <c r="GU18" s="177"/>
      <c r="GV18" s="177"/>
      <c r="GW18" s="177"/>
      <c r="GX18" s="177"/>
      <c r="GY18" s="121"/>
      <c r="HC18" s="3"/>
      <c r="HE18" s="38"/>
      <c r="HF18" s="55"/>
      <c r="HG18" s="38"/>
      <c r="HH18" s="38"/>
      <c r="HL18" s="184"/>
      <c r="HM18" s="95"/>
      <c r="HN18" s="185"/>
      <c r="HO18" s="189"/>
      <c r="HP18" s="185"/>
      <c r="HQ18" s="185"/>
      <c r="HR18" s="121"/>
      <c r="HV18" s="211"/>
      <c r="HX18" s="212"/>
      <c r="HY18" s="213"/>
      <c r="HZ18" s="212"/>
      <c r="IA18" s="219"/>
      <c r="IE18" s="211"/>
      <c r="IG18" s="212"/>
      <c r="IH18" s="213"/>
      <c r="II18" s="212"/>
      <c r="IJ18" s="219"/>
      <c r="IN18" s="211"/>
      <c r="IP18" s="212"/>
      <c r="IQ18" s="213"/>
      <c r="IR18" s="212"/>
      <c r="IS18" s="212"/>
      <c r="IW18" s="211"/>
      <c r="IY18" s="212"/>
      <c r="IZ18" s="213"/>
      <c r="JA18" s="212"/>
      <c r="JB18" s="212"/>
    </row>
    <row r="19" spans="1:262" x14ac:dyDescent="0.2">
      <c r="A19" s="3" t="s">
        <v>39</v>
      </c>
      <c r="B19">
        <v>1747</v>
      </c>
      <c r="C19">
        <v>901</v>
      </c>
      <c r="D19">
        <v>0.41</v>
      </c>
      <c r="F19" t="s">
        <v>40</v>
      </c>
      <c r="G19" t="s">
        <v>126</v>
      </c>
      <c r="H19" s="20"/>
      <c r="I19" s="21"/>
      <c r="J19">
        <v>716</v>
      </c>
      <c r="K19" s="94">
        <f t="shared" si="2"/>
        <v>6.3452159999999997</v>
      </c>
      <c r="L19" s="94">
        <v>416.14</v>
      </c>
      <c r="M19" s="94">
        <f t="shared" si="3"/>
        <v>819.59039999999993</v>
      </c>
      <c r="N19" s="95">
        <f t="shared" si="4"/>
        <v>5822396.6399999997</v>
      </c>
      <c r="O19" s="96">
        <f t="shared" si="5"/>
        <v>2275622488.7999997</v>
      </c>
      <c r="P19" s="95">
        <f t="shared" si="6"/>
        <v>4545421920</v>
      </c>
      <c r="Q19">
        <v>0.41</v>
      </c>
      <c r="R19" s="27">
        <f t="shared" si="7"/>
        <v>1862.7016089599999</v>
      </c>
      <c r="S19" s="27">
        <f t="shared" si="8"/>
        <v>122162.05839999999</v>
      </c>
      <c r="T19" s="27">
        <f t="shared" si="9"/>
        <v>240598.95782399995</v>
      </c>
      <c r="U19">
        <f t="shared" si="10"/>
        <v>1709222757.6383998</v>
      </c>
      <c r="V19" s="27">
        <f t="shared" si="11"/>
        <v>668031737812.12793</v>
      </c>
      <c r="W19" s="27">
        <f t="shared" si="12"/>
        <v>1334354058835.2</v>
      </c>
      <c r="X19" s="18"/>
      <c r="Y19">
        <v>2.3999999999999998E-3</v>
      </c>
      <c r="Z19">
        <v>0.99760000000000004</v>
      </c>
      <c r="AA19" s="94">
        <f t="shared" si="13"/>
        <v>4.4704838615039995</v>
      </c>
      <c r="AB19" s="94">
        <f t="shared" si="14"/>
        <v>293.18894015999996</v>
      </c>
      <c r="AC19" s="94">
        <f t="shared" si="15"/>
        <v>577.43749877759979</v>
      </c>
      <c r="AD19">
        <f t="shared" si="16"/>
        <v>4102134.6183321592</v>
      </c>
      <c r="AE19" s="27">
        <f t="shared" si="44"/>
        <v>1603276170.7491069</v>
      </c>
      <c r="AF19" s="27">
        <f t="shared" si="17"/>
        <v>3202449741.2044797</v>
      </c>
      <c r="AG19" s="94">
        <f t="shared" si="18"/>
        <v>1858.231125098496</v>
      </c>
      <c r="AH19" s="94">
        <f t="shared" si="19"/>
        <v>121868.86945984</v>
      </c>
      <c r="AI19" s="94">
        <f t="shared" si="20"/>
        <v>240021.52032522237</v>
      </c>
      <c r="AJ19" s="27">
        <f t="shared" si="21"/>
        <v>1705120623.0200677</v>
      </c>
      <c r="AK19" s="95">
        <f t="shared" si="22"/>
        <v>666428461641.37891</v>
      </c>
      <c r="AL19" s="27">
        <f t="shared" si="23"/>
        <v>1331151609093.9956</v>
      </c>
      <c r="AM19" s="27"/>
      <c r="AN19" s="27"/>
      <c r="AO19" s="27"/>
      <c r="AP19" s="27"/>
      <c r="AQ19" s="27"/>
      <c r="AR19" s="27"/>
      <c r="AS19" s="1"/>
      <c r="AT19" s="152"/>
      <c r="AU19" s="152"/>
      <c r="AV19" s="152"/>
      <c r="AW19" s="152"/>
      <c r="AX19" s="152"/>
      <c r="AY19" s="18"/>
      <c r="AZ19">
        <v>14</v>
      </c>
      <c r="BA19" s="34">
        <f t="shared" si="24"/>
        <v>1.5981735159817352E-3</v>
      </c>
      <c r="BB19" s="34">
        <f t="shared" si="25"/>
        <v>0.99840182648401832</v>
      </c>
      <c r="BC19" s="94">
        <f t="shared" si="26"/>
        <v>2.9697757707053589</v>
      </c>
      <c r="BD19" s="94">
        <f t="shared" si="27"/>
        <v>1.4848878853526795</v>
      </c>
      <c r="BE19" s="94">
        <f t="shared" si="28"/>
        <v>1856.7462372131436</v>
      </c>
      <c r="BF19">
        <f t="shared" si="29"/>
        <v>2725078.6212649485</v>
      </c>
      <c r="BG19">
        <f t="shared" si="30"/>
        <v>1362539.3106324743</v>
      </c>
      <c r="BH19">
        <f t="shared" si="31"/>
        <v>1703758083.7094352</v>
      </c>
      <c r="BI19" s="27"/>
      <c r="BJ19" s="27"/>
      <c r="BM19" s="94">
        <f t="shared" si="32"/>
        <v>194.7675995933516</v>
      </c>
      <c r="BN19" s="94">
        <f t="shared" si="33"/>
        <v>97.383799796675802</v>
      </c>
      <c r="BO19" s="94">
        <f t="shared" si="34"/>
        <v>121771.48566004334</v>
      </c>
      <c r="BP19" s="95">
        <f t="shared" si="35"/>
        <v>1065068317.6917015</v>
      </c>
      <c r="BQ19" s="95">
        <f t="shared" si="36"/>
        <v>532534158.84585077</v>
      </c>
      <c r="BR19" s="95">
        <f t="shared" si="37"/>
        <v>665895927482.53308</v>
      </c>
      <c r="BW19" s="94">
        <f t="shared" si="38"/>
        <v>383.59603704944215</v>
      </c>
      <c r="BX19" s="94">
        <f t="shared" si="39"/>
        <v>191.79801852472107</v>
      </c>
      <c r="BY19" s="94">
        <f t="shared" si="40"/>
        <v>239829.72230669766</v>
      </c>
      <c r="BZ19" s="95">
        <f t="shared" si="41"/>
        <v>2127411247.4104953</v>
      </c>
      <c r="CA19" s="95">
        <f t="shared" si="42"/>
        <v>1063705623.7052476</v>
      </c>
      <c r="CB19" s="95">
        <f t="shared" si="43"/>
        <v>1330087903470.2905</v>
      </c>
      <c r="CG19" s="18"/>
      <c r="CK19" s="3"/>
      <c r="CN19" s="95"/>
      <c r="CQ19" s="3"/>
      <c r="CR19" s="95"/>
      <c r="CT19" s="95"/>
      <c r="CV19" s="95"/>
      <c r="CW19" s="3"/>
      <c r="CX19" s="95"/>
      <c r="CZ19" s="95"/>
      <c r="DB19" s="95"/>
      <c r="DC19" s="117"/>
      <c r="DG19" s="3"/>
      <c r="DM19" s="3"/>
      <c r="DR19" s="95"/>
      <c r="DS19" s="3"/>
      <c r="DV19" s="95"/>
      <c r="DW19" s="95"/>
      <c r="DX19" s="95"/>
      <c r="DY19" s="121"/>
      <c r="ED19" s="27"/>
      <c r="EE19" s="27"/>
      <c r="EF19" s="27"/>
      <c r="EG19" s="27"/>
      <c r="FL19" s="121"/>
      <c r="FO19" s="27"/>
      <c r="FP19" s="27"/>
      <c r="FQ19" s="27"/>
      <c r="FR19" s="27"/>
      <c r="FS19" s="27"/>
      <c r="FT19" s="27"/>
      <c r="FU19" s="27"/>
      <c r="FV19" s="27"/>
      <c r="FW19" s="27"/>
      <c r="FX19" s="27"/>
      <c r="FY19" s="27"/>
      <c r="FZ19" s="27"/>
      <c r="GA19" s="177"/>
      <c r="GB19" s="177"/>
      <c r="GC19" s="177"/>
      <c r="GD19" s="177"/>
      <c r="GE19" s="177"/>
      <c r="GF19" s="177"/>
      <c r="GG19" s="177"/>
      <c r="GH19" s="27"/>
      <c r="GI19" s="27"/>
      <c r="GJ19" s="27"/>
      <c r="GK19" s="27"/>
      <c r="GL19" s="27"/>
      <c r="GM19" s="27"/>
      <c r="GN19" s="27"/>
      <c r="GO19" s="27"/>
      <c r="GP19" s="27"/>
      <c r="GQ19" s="27"/>
      <c r="GR19" s="27"/>
      <c r="GS19" s="177"/>
      <c r="GT19" s="177"/>
      <c r="GU19" s="177"/>
      <c r="GV19" s="177"/>
      <c r="GW19" s="177"/>
      <c r="GX19" s="177"/>
      <c r="GY19" s="121"/>
      <c r="HC19" s="3"/>
      <c r="HE19" s="38"/>
      <c r="HF19" s="55"/>
      <c r="HG19" s="38"/>
      <c r="HH19" s="38"/>
      <c r="HL19" s="184"/>
      <c r="HM19" s="95"/>
      <c r="HN19" s="185"/>
      <c r="HO19" s="189"/>
      <c r="HP19" s="185"/>
      <c r="HQ19" s="185"/>
      <c r="HR19" s="121"/>
      <c r="HV19" s="211"/>
      <c r="HX19" s="212"/>
      <c r="HY19" s="213"/>
      <c r="HZ19" s="212"/>
      <c r="IA19" s="219"/>
      <c r="IE19" s="211"/>
      <c r="IG19" s="212"/>
      <c r="IH19" s="213"/>
      <c r="II19" s="212"/>
      <c r="IJ19" s="219"/>
      <c r="IN19" s="211"/>
      <c r="IP19" s="212"/>
      <c r="IQ19" s="213"/>
      <c r="IR19" s="212"/>
      <c r="IS19" s="212"/>
      <c r="IW19" s="211"/>
      <c r="IY19" s="212"/>
      <c r="IZ19" s="213"/>
      <c r="JA19" s="212"/>
      <c r="JB19" s="212"/>
    </row>
    <row r="20" spans="1:262" x14ac:dyDescent="0.2">
      <c r="A20" s="3" t="s">
        <v>41</v>
      </c>
      <c r="B20">
        <v>1179</v>
      </c>
      <c r="C20">
        <v>10</v>
      </c>
      <c r="D20">
        <v>0.34</v>
      </c>
      <c r="E20">
        <v>0.25</v>
      </c>
      <c r="F20" t="s">
        <v>42</v>
      </c>
      <c r="G20" t="s">
        <v>11</v>
      </c>
      <c r="H20" s="20"/>
      <c r="I20" s="21"/>
      <c r="J20">
        <v>295</v>
      </c>
      <c r="K20" s="94">
        <f t="shared" si="2"/>
        <v>6.3452159999999997</v>
      </c>
      <c r="L20" s="94">
        <v>416.14</v>
      </c>
      <c r="M20" s="94">
        <f t="shared" si="3"/>
        <v>819.59039999999993</v>
      </c>
      <c r="N20" s="95">
        <f t="shared" si="4"/>
        <v>5822396.6399999997</v>
      </c>
      <c r="O20" s="96">
        <f t="shared" si="5"/>
        <v>2275622488.7999997</v>
      </c>
      <c r="P20" s="95">
        <f t="shared" si="6"/>
        <v>4545421920</v>
      </c>
      <c r="Q20">
        <v>0.25</v>
      </c>
      <c r="R20" s="27">
        <f t="shared" si="7"/>
        <v>467.95967999999999</v>
      </c>
      <c r="S20" s="27">
        <f t="shared" si="8"/>
        <v>30690.325000000001</v>
      </c>
      <c r="T20" s="27">
        <f t="shared" si="9"/>
        <v>60444.791999999994</v>
      </c>
      <c r="U20">
        <f t="shared" si="10"/>
        <v>429401752.19999999</v>
      </c>
      <c r="V20" s="27">
        <f t="shared" si="11"/>
        <v>167827158548.99997</v>
      </c>
      <c r="W20" s="27">
        <f t="shared" si="12"/>
        <v>335224866600</v>
      </c>
      <c r="X20" s="18"/>
      <c r="Y20">
        <v>2.3999999999999998E-3</v>
      </c>
      <c r="Z20">
        <v>0.99760000000000004</v>
      </c>
      <c r="AA20" s="94">
        <f t="shared" si="13"/>
        <v>1.1231032319999998</v>
      </c>
      <c r="AB20" s="94">
        <f t="shared" si="14"/>
        <v>73.656779999999998</v>
      </c>
      <c r="AC20" s="94">
        <f t="shared" si="15"/>
        <v>145.06750079999998</v>
      </c>
      <c r="AD20">
        <f t="shared" si="16"/>
        <v>1030564.2052799999</v>
      </c>
      <c r="AE20" s="27">
        <f t="shared" si="44"/>
        <v>402785180.51759988</v>
      </c>
      <c r="AF20" s="27">
        <f t="shared" si="17"/>
        <v>804539679.83999991</v>
      </c>
      <c r="AG20" s="94">
        <f t="shared" si="18"/>
        <v>466.83657676799999</v>
      </c>
      <c r="AH20" s="94">
        <f t="shared" si="19"/>
        <v>30616.668220000003</v>
      </c>
      <c r="AI20" s="94">
        <f t="shared" si="20"/>
        <v>60299.724499199998</v>
      </c>
      <c r="AJ20" s="27">
        <f t="shared" si="21"/>
        <v>428371187.99471998</v>
      </c>
      <c r="AK20" s="95">
        <f t="shared" si="22"/>
        <v>167424373368.48239</v>
      </c>
      <c r="AL20" s="27">
        <f t="shared" si="23"/>
        <v>334420326920.16003</v>
      </c>
      <c r="AM20" s="27"/>
      <c r="AN20" s="27"/>
      <c r="AO20" s="27"/>
      <c r="AP20" s="27"/>
      <c r="AQ20" s="27"/>
      <c r="AR20" s="27"/>
      <c r="AS20" s="1"/>
      <c r="AT20" s="152"/>
      <c r="AU20" s="152"/>
      <c r="AV20" s="152"/>
      <c r="AW20" s="152"/>
      <c r="AX20" s="152"/>
      <c r="AY20" s="18"/>
      <c r="AZ20">
        <v>39</v>
      </c>
      <c r="BA20" s="34">
        <f t="shared" si="24"/>
        <v>4.4520547945205479E-3</v>
      </c>
      <c r="BB20" s="34">
        <f t="shared" si="25"/>
        <v>0.9955479452054794</v>
      </c>
      <c r="BC20" s="94">
        <f t="shared" si="26"/>
        <v>2.0783820198575342</v>
      </c>
      <c r="BD20" s="94">
        <f t="shared" si="27"/>
        <v>1.0391910099287671</v>
      </c>
      <c r="BE20" s="94">
        <f t="shared" si="28"/>
        <v>465.79738575807119</v>
      </c>
      <c r="BF20">
        <f t="shared" si="29"/>
        <v>1907132.001346356</v>
      </c>
      <c r="BG20">
        <f t="shared" si="30"/>
        <v>953566.000673178</v>
      </c>
      <c r="BH20">
        <f t="shared" si="31"/>
        <v>427417621.99404681</v>
      </c>
      <c r="BI20" s="27"/>
      <c r="BJ20" s="27"/>
      <c r="BM20" s="94">
        <f t="shared" si="32"/>
        <v>136.30708454109589</v>
      </c>
      <c r="BN20" s="94">
        <f t="shared" si="33"/>
        <v>68.153542270547945</v>
      </c>
      <c r="BO20" s="94">
        <f t="shared" si="34"/>
        <v>30548.514677729454</v>
      </c>
      <c r="BP20" s="95">
        <f t="shared" si="35"/>
        <v>745382484.17475033</v>
      </c>
      <c r="BQ20" s="95">
        <f t="shared" si="36"/>
        <v>372691242.08737516</v>
      </c>
      <c r="BR20" s="95">
        <f t="shared" si="37"/>
        <v>167051682126.39499</v>
      </c>
      <c r="BW20" s="94">
        <f t="shared" si="38"/>
        <v>268.45767756493149</v>
      </c>
      <c r="BX20" s="94">
        <f t="shared" si="39"/>
        <v>134.22883878246574</v>
      </c>
      <c r="BY20" s="94">
        <f t="shared" si="40"/>
        <v>60165.495660417531</v>
      </c>
      <c r="BZ20" s="95">
        <f t="shared" si="41"/>
        <v>1488857619.8500276</v>
      </c>
      <c r="CA20" s="95">
        <f t="shared" si="42"/>
        <v>744428809.92501378</v>
      </c>
      <c r="CB20" s="95">
        <f t="shared" si="43"/>
        <v>333675898110.23499</v>
      </c>
      <c r="CG20" s="18"/>
      <c r="CK20" s="3"/>
      <c r="CN20" s="95"/>
      <c r="CQ20" s="3"/>
      <c r="CR20" s="95"/>
      <c r="CT20" s="95"/>
      <c r="CV20" s="95"/>
      <c r="CW20" s="3"/>
      <c r="CX20" s="95"/>
      <c r="CZ20" s="95"/>
      <c r="DB20" s="95"/>
      <c r="DC20" s="117"/>
      <c r="DG20" s="3"/>
      <c r="DM20" s="3"/>
      <c r="DR20" s="95"/>
      <c r="DS20" s="3"/>
      <c r="DV20" s="95"/>
      <c r="DW20" s="95"/>
      <c r="DX20" s="95"/>
      <c r="DY20" s="121"/>
      <c r="ED20" s="27"/>
      <c r="EE20" s="27"/>
      <c r="EF20" s="27"/>
      <c r="EG20" s="27"/>
      <c r="FL20" s="121"/>
      <c r="FO20" s="27"/>
      <c r="FP20" s="27"/>
      <c r="FQ20" s="27"/>
      <c r="FR20" s="27"/>
      <c r="FS20" s="27"/>
      <c r="FT20" s="27"/>
      <c r="FU20" s="27"/>
      <c r="FV20" s="27"/>
      <c r="FW20" s="27"/>
      <c r="FX20" s="27"/>
      <c r="FY20" s="27"/>
      <c r="FZ20" s="27"/>
      <c r="GA20" s="177"/>
      <c r="GB20" s="177"/>
      <c r="GC20" s="177"/>
      <c r="GD20" s="177"/>
      <c r="GE20" s="177"/>
      <c r="GF20" s="177"/>
      <c r="GG20" s="177"/>
      <c r="GH20" s="27"/>
      <c r="GI20" s="27"/>
      <c r="GJ20" s="27"/>
      <c r="GK20" s="27"/>
      <c r="GL20" s="27"/>
      <c r="GM20" s="27"/>
      <c r="GN20" s="27"/>
      <c r="GO20" s="27"/>
      <c r="GP20" s="27"/>
      <c r="GQ20" s="27"/>
      <c r="GR20" s="27"/>
      <c r="GS20" s="177"/>
      <c r="GT20" s="177"/>
      <c r="GU20" s="177"/>
      <c r="GV20" s="177"/>
      <c r="GW20" s="177"/>
      <c r="GX20" s="177"/>
      <c r="GY20" s="121"/>
      <c r="HC20" s="3"/>
      <c r="HE20" s="38"/>
      <c r="HF20" s="55"/>
      <c r="HG20" s="38"/>
      <c r="HH20" s="38"/>
      <c r="HL20" s="184"/>
      <c r="HM20" s="95"/>
      <c r="HN20" s="185"/>
      <c r="HO20" s="189"/>
      <c r="HP20" s="185"/>
      <c r="HQ20" s="185"/>
      <c r="HR20" s="121"/>
      <c r="HV20" s="211"/>
      <c r="HX20" s="212"/>
      <c r="HY20" s="213"/>
      <c r="HZ20" s="212"/>
      <c r="IA20" s="219"/>
      <c r="IE20" s="211"/>
      <c r="IG20" s="212"/>
      <c r="IH20" s="213"/>
      <c r="II20" s="212"/>
      <c r="IJ20" s="219"/>
      <c r="IN20" s="211"/>
      <c r="IP20" s="212"/>
      <c r="IQ20" s="213"/>
      <c r="IR20" s="212"/>
      <c r="IS20" s="212"/>
      <c r="IW20" s="211"/>
      <c r="IY20" s="212"/>
      <c r="IZ20" s="213"/>
      <c r="JA20" s="212"/>
      <c r="JB20" s="212"/>
    </row>
    <row r="21" spans="1:262" x14ac:dyDescent="0.2">
      <c r="A21" s="3" t="s">
        <v>43</v>
      </c>
      <c r="B21">
        <v>1760</v>
      </c>
      <c r="C21">
        <v>7</v>
      </c>
      <c r="D21">
        <v>0.78</v>
      </c>
      <c r="F21" t="s">
        <v>44</v>
      </c>
      <c r="G21" t="s">
        <v>30</v>
      </c>
      <c r="H21" s="20"/>
      <c r="I21" s="21"/>
      <c r="J21">
        <v>7</v>
      </c>
      <c r="K21" s="94">
        <f t="shared" si="2"/>
        <v>6.3452159999999997</v>
      </c>
      <c r="L21" s="94">
        <v>416.14</v>
      </c>
      <c r="M21" s="94">
        <f t="shared" si="3"/>
        <v>819.59039999999993</v>
      </c>
      <c r="N21" s="95">
        <f t="shared" si="4"/>
        <v>5822396.6399999997</v>
      </c>
      <c r="O21" s="96">
        <f t="shared" si="5"/>
        <v>2275622488.7999997</v>
      </c>
      <c r="P21" s="95">
        <f t="shared" si="6"/>
        <v>4545421920</v>
      </c>
      <c r="Q21">
        <v>0.78</v>
      </c>
      <c r="R21" s="27">
        <f t="shared" si="7"/>
        <v>34.644879359999997</v>
      </c>
      <c r="S21" s="27">
        <f t="shared" si="8"/>
        <v>2272.1244000000002</v>
      </c>
      <c r="T21" s="27">
        <f t="shared" si="9"/>
        <v>4474.9635840000001</v>
      </c>
      <c r="U21">
        <f t="shared" si="10"/>
        <v>31790285.654399998</v>
      </c>
      <c r="V21" s="27">
        <f t="shared" si="11"/>
        <v>12424898788.848</v>
      </c>
      <c r="W21" s="27">
        <f t="shared" si="12"/>
        <v>24818003683.200001</v>
      </c>
      <c r="X21" s="18"/>
      <c r="Y21">
        <v>2.3999999999999998E-3</v>
      </c>
      <c r="Z21">
        <v>0.99760000000000004</v>
      </c>
      <c r="AA21" s="94">
        <f t="shared" si="13"/>
        <v>8.3147710463999991E-2</v>
      </c>
      <c r="AB21" s="94">
        <f t="shared" si="14"/>
        <v>5.4530985599999999</v>
      </c>
      <c r="AC21" s="94">
        <f t="shared" si="15"/>
        <v>10.739912601599999</v>
      </c>
      <c r="AD21">
        <f t="shared" si="16"/>
        <v>76296.685570559988</v>
      </c>
      <c r="AE21" s="27">
        <f t="shared" si="44"/>
        <v>29819757.093235195</v>
      </c>
      <c r="AF21" s="27">
        <f t="shared" si="17"/>
        <v>59563208.839679994</v>
      </c>
      <c r="AG21" s="94">
        <f t="shared" si="18"/>
        <v>34.561731649536</v>
      </c>
      <c r="AH21" s="94">
        <f t="shared" si="19"/>
        <v>2266.6713014400002</v>
      </c>
      <c r="AI21" s="94">
        <f t="shared" si="20"/>
        <v>4464.2236713984003</v>
      </c>
      <c r="AJ21" s="27">
        <f t="shared" si="21"/>
        <v>31713988.968829438</v>
      </c>
      <c r="AK21" s="95">
        <f t="shared" si="22"/>
        <v>12395079031.754765</v>
      </c>
      <c r="AL21" s="27">
        <f t="shared" si="23"/>
        <v>24758440474.360321</v>
      </c>
      <c r="AM21" s="27"/>
      <c r="AN21" s="27"/>
      <c r="AO21" s="27"/>
      <c r="AP21" s="27"/>
      <c r="AQ21" s="27"/>
      <c r="AR21" s="27"/>
      <c r="AS21" s="1"/>
      <c r="AT21" s="152"/>
      <c r="AU21" s="152"/>
      <c r="AV21" s="152"/>
      <c r="AW21" s="152"/>
      <c r="AX21" s="152"/>
      <c r="AY21" s="18"/>
      <c r="AZ21">
        <v>2027</v>
      </c>
      <c r="BA21" s="34">
        <f t="shared" si="24"/>
        <v>0.23139269406392693</v>
      </c>
      <c r="BB21" s="34">
        <f t="shared" si="25"/>
        <v>0.76860730593607307</v>
      </c>
      <c r="BC21" s="94">
        <f t="shared" si="26"/>
        <v>7.997332197900624</v>
      </c>
      <c r="BD21" s="94">
        <f t="shared" si="27"/>
        <v>3.998666098950312</v>
      </c>
      <c r="BE21" s="94">
        <f t="shared" si="28"/>
        <v>30.563065550585687</v>
      </c>
      <c r="BF21">
        <f t="shared" si="29"/>
        <v>7338385.3470111033</v>
      </c>
      <c r="BG21">
        <f t="shared" si="30"/>
        <v>3669192.6735055516</v>
      </c>
      <c r="BH21">
        <f t="shared" si="31"/>
        <v>28044796.295323886</v>
      </c>
      <c r="BI21" s="27"/>
      <c r="BJ21" s="27"/>
      <c r="BM21" s="94">
        <f t="shared" si="32"/>
        <v>524.49117899758903</v>
      </c>
      <c r="BN21" s="94">
        <f t="shared" si="33"/>
        <v>262.24558949879452</v>
      </c>
      <c r="BO21" s="94">
        <f t="shared" si="34"/>
        <v>2004.4257119412057</v>
      </c>
      <c r="BP21" s="95">
        <f t="shared" si="35"/>
        <v>2868130730.293026</v>
      </c>
      <c r="BQ21" s="95">
        <f t="shared" si="36"/>
        <v>1434065365.146513</v>
      </c>
      <c r="BR21" s="95">
        <f t="shared" si="37"/>
        <v>10961013666.608252</v>
      </c>
      <c r="BW21" s="94">
        <f t="shared" si="38"/>
        <v>1032.9887422288307</v>
      </c>
      <c r="BX21" s="94">
        <f t="shared" si="39"/>
        <v>516.49437111441534</v>
      </c>
      <c r="BY21" s="94">
        <f t="shared" si="40"/>
        <v>3947.7293002839851</v>
      </c>
      <c r="BZ21" s="95">
        <f t="shared" si="41"/>
        <v>5728922242.1836033</v>
      </c>
      <c r="CA21" s="95">
        <f t="shared" si="42"/>
        <v>2864461121.0918016</v>
      </c>
      <c r="CB21" s="95">
        <f t="shared" si="43"/>
        <v>21893979353.268517</v>
      </c>
      <c r="CG21" s="18"/>
      <c r="CK21" s="3"/>
      <c r="CN21" s="95"/>
      <c r="CQ21" s="3"/>
      <c r="CR21" s="95"/>
      <c r="CT21" s="95"/>
      <c r="CV21" s="95"/>
      <c r="CW21" s="3"/>
      <c r="CX21" s="95"/>
      <c r="CZ21" s="95"/>
      <c r="DB21" s="95"/>
      <c r="DC21" s="117"/>
      <c r="DG21" s="3"/>
      <c r="DM21" s="3"/>
      <c r="DR21" s="95"/>
      <c r="DS21" s="3"/>
      <c r="DV21" s="95"/>
      <c r="DW21" s="95"/>
      <c r="DX21" s="95"/>
      <c r="DY21" s="121"/>
      <c r="ED21" s="27"/>
      <c r="EE21" s="27"/>
      <c r="EF21" s="27"/>
      <c r="EG21" s="27"/>
      <c r="FL21" s="121"/>
      <c r="FO21" s="27"/>
      <c r="FP21" s="27"/>
      <c r="FQ21" s="27"/>
      <c r="FR21" s="27"/>
      <c r="FS21" s="27"/>
      <c r="FT21" s="27"/>
      <c r="FU21" s="27"/>
      <c r="FV21" s="27"/>
      <c r="FW21" s="27"/>
      <c r="FX21" s="27"/>
      <c r="FY21" s="27"/>
      <c r="FZ21" s="27"/>
      <c r="GA21" s="177"/>
      <c r="GB21" s="177"/>
      <c r="GC21" s="177"/>
      <c r="GD21" s="177"/>
      <c r="GE21" s="177"/>
      <c r="GF21" s="177"/>
      <c r="GG21" s="177"/>
      <c r="GH21" s="27"/>
      <c r="GI21" s="27"/>
      <c r="GJ21" s="27"/>
      <c r="GK21" s="27"/>
      <c r="GL21" s="27"/>
      <c r="GM21" s="27"/>
      <c r="GN21" s="27"/>
      <c r="GO21" s="27"/>
      <c r="GP21" s="27"/>
      <c r="GQ21" s="27"/>
      <c r="GR21" s="27"/>
      <c r="GS21" s="177"/>
      <c r="GT21" s="177"/>
      <c r="GU21" s="177"/>
      <c r="GV21" s="177"/>
      <c r="GW21" s="177"/>
      <c r="GX21" s="177"/>
      <c r="GY21" s="121"/>
      <c r="HC21" s="3"/>
      <c r="HE21" s="38"/>
      <c r="HF21" s="55"/>
      <c r="HG21" s="38"/>
      <c r="HH21" s="38"/>
      <c r="HL21" s="184"/>
      <c r="HM21" s="95"/>
      <c r="HN21" s="185"/>
      <c r="HO21" s="189"/>
      <c r="HP21" s="185"/>
      <c r="HQ21" s="185"/>
      <c r="HR21" s="121"/>
      <c r="HV21" s="211"/>
      <c r="HX21" s="212"/>
      <c r="HY21" s="213"/>
      <c r="HZ21" s="212"/>
      <c r="IA21" s="219"/>
      <c r="IE21" s="211"/>
      <c r="IG21" s="212"/>
      <c r="IH21" s="213"/>
      <c r="II21" s="212"/>
      <c r="IJ21" s="219"/>
      <c r="IN21" s="211"/>
      <c r="IP21" s="212"/>
      <c r="IQ21" s="213"/>
      <c r="IR21" s="212"/>
      <c r="IS21" s="212"/>
      <c r="IW21" s="211"/>
      <c r="IY21" s="212"/>
      <c r="IZ21" s="213"/>
      <c r="JA21" s="212"/>
      <c r="JB21" s="212"/>
    </row>
    <row r="22" spans="1:262" x14ac:dyDescent="0.2">
      <c r="A22" s="3" t="s">
        <v>45</v>
      </c>
      <c r="B22">
        <v>1760</v>
      </c>
      <c r="C22">
        <v>7</v>
      </c>
      <c r="D22">
        <v>14.26</v>
      </c>
      <c r="F22" t="s">
        <v>44</v>
      </c>
      <c r="G22" t="s">
        <v>30</v>
      </c>
      <c r="H22" s="20"/>
      <c r="I22" s="21"/>
      <c r="J22">
        <v>7</v>
      </c>
      <c r="K22" s="94">
        <f t="shared" si="2"/>
        <v>6.3452159999999997</v>
      </c>
      <c r="L22" s="94">
        <v>416.14</v>
      </c>
      <c r="M22" s="94">
        <f t="shared" si="3"/>
        <v>819.59039999999993</v>
      </c>
      <c r="N22" s="95">
        <f t="shared" si="4"/>
        <v>5822396.6399999997</v>
      </c>
      <c r="O22" s="96">
        <f t="shared" si="5"/>
        <v>2275622488.7999997</v>
      </c>
      <c r="P22" s="95">
        <f t="shared" si="6"/>
        <v>4545421920</v>
      </c>
      <c r="Q22">
        <v>14.26</v>
      </c>
      <c r="R22" s="27">
        <f t="shared" si="7"/>
        <v>633.37946111999997</v>
      </c>
      <c r="S22" s="27">
        <f t="shared" si="8"/>
        <v>41539.094799999999</v>
      </c>
      <c r="T22" s="27">
        <f t="shared" si="9"/>
        <v>81811.513727999991</v>
      </c>
      <c r="U22">
        <f t="shared" si="10"/>
        <v>581191632.60479999</v>
      </c>
      <c r="V22" s="27">
        <f t="shared" si="11"/>
        <v>227152636832.01596</v>
      </c>
      <c r="W22" s="27">
        <f t="shared" si="12"/>
        <v>453724016054.39996</v>
      </c>
      <c r="X22" s="18"/>
      <c r="Y22">
        <v>2.3999999999999998E-3</v>
      </c>
      <c r="Z22">
        <v>0.99760000000000004</v>
      </c>
      <c r="AA22" s="94">
        <f t="shared" si="13"/>
        <v>1.5201107066879997</v>
      </c>
      <c r="AB22" s="94">
        <f t="shared" si="14"/>
        <v>99.693827519999985</v>
      </c>
      <c r="AC22" s="94">
        <f t="shared" si="15"/>
        <v>196.34763294719997</v>
      </c>
      <c r="AD22">
        <f t="shared" si="16"/>
        <v>1394859.9182515198</v>
      </c>
      <c r="AE22" s="27">
        <f t="shared" si="44"/>
        <v>545166328.39683831</v>
      </c>
      <c r="AF22" s="27">
        <f t="shared" si="17"/>
        <v>1088937638.5305598</v>
      </c>
      <c r="AG22" s="94">
        <f t="shared" si="18"/>
        <v>631.85935041331197</v>
      </c>
      <c r="AH22" s="94">
        <f t="shared" si="19"/>
        <v>41439.400972479998</v>
      </c>
      <c r="AI22" s="94">
        <f t="shared" si="20"/>
        <v>81615.166095052788</v>
      </c>
      <c r="AJ22" s="27">
        <f t="shared" si="21"/>
        <v>579796772.68654847</v>
      </c>
      <c r="AK22" s="95">
        <f t="shared" si="22"/>
        <v>226607470503.61914</v>
      </c>
      <c r="AL22" s="27">
        <f t="shared" si="23"/>
        <v>452635078415.86945</v>
      </c>
      <c r="AM22" s="27"/>
      <c r="AN22" s="27"/>
      <c r="AO22" s="27"/>
      <c r="AP22" s="27"/>
      <c r="AQ22" s="27"/>
      <c r="AR22" s="27"/>
      <c r="AS22" s="1"/>
      <c r="AT22" s="152"/>
      <c r="AU22" s="152"/>
      <c r="AV22" s="152"/>
      <c r="AW22" s="152"/>
      <c r="AX22" s="152"/>
      <c r="AY22" s="18"/>
      <c r="AZ22">
        <v>1086</v>
      </c>
      <c r="BA22" s="34">
        <f t="shared" si="24"/>
        <v>0.12397260273972603</v>
      </c>
      <c r="BB22" s="34">
        <f t="shared" si="25"/>
        <v>0.87602739726027401</v>
      </c>
      <c r="BC22" s="94">
        <f t="shared" si="26"/>
        <v>78.333248236170874</v>
      </c>
      <c r="BD22" s="94">
        <f t="shared" si="27"/>
        <v>39.166624118085437</v>
      </c>
      <c r="BE22" s="94">
        <f t="shared" si="28"/>
        <v>592.69272629522663</v>
      </c>
      <c r="BF22">
        <f t="shared" si="29"/>
        <v>71878914.970044717</v>
      </c>
      <c r="BG22">
        <f t="shared" si="30"/>
        <v>35939457.485022359</v>
      </c>
      <c r="BH22">
        <f t="shared" si="31"/>
        <v>543857315.20152617</v>
      </c>
      <c r="BI22" s="27"/>
      <c r="BJ22" s="27"/>
      <c r="BM22" s="94">
        <f t="shared" si="32"/>
        <v>5137.3503945334796</v>
      </c>
      <c r="BN22" s="94">
        <f t="shared" si="33"/>
        <v>2568.6751972667398</v>
      </c>
      <c r="BO22" s="94">
        <f t="shared" si="34"/>
        <v>38870.725775213265</v>
      </c>
      <c r="BP22" s="95">
        <f t="shared" si="35"/>
        <v>28093117918.599361</v>
      </c>
      <c r="BQ22" s="95">
        <f t="shared" si="36"/>
        <v>14046558959.299681</v>
      </c>
      <c r="BR22" s="95">
        <f t="shared" si="37"/>
        <v>212560911544.31946</v>
      </c>
      <c r="BW22" s="94">
        <f t="shared" si="38"/>
        <v>10118.044563838735</v>
      </c>
      <c r="BX22" s="94">
        <f t="shared" si="39"/>
        <v>5059.0222819193677</v>
      </c>
      <c r="BY22" s="94">
        <f t="shared" si="40"/>
        <v>76556.143813133429</v>
      </c>
      <c r="BZ22" s="95">
        <f t="shared" si="41"/>
        <v>56114348762.51532</v>
      </c>
      <c r="CA22" s="95">
        <f t="shared" si="42"/>
        <v>28057174381.25766</v>
      </c>
      <c r="CB22" s="95">
        <f t="shared" si="43"/>
        <v>424577904034.61182</v>
      </c>
      <c r="CG22" s="18"/>
      <c r="CK22" s="3"/>
      <c r="CN22" s="95"/>
      <c r="CQ22" s="3"/>
      <c r="CR22" s="95"/>
      <c r="CT22" s="95"/>
      <c r="CV22" s="95"/>
      <c r="CW22" s="3"/>
      <c r="CX22" s="95"/>
      <c r="CZ22" s="95"/>
      <c r="DB22" s="95"/>
      <c r="DC22" s="117"/>
      <c r="DG22" s="3"/>
      <c r="DM22" s="3"/>
      <c r="DR22" s="95"/>
      <c r="DS22" s="3"/>
      <c r="DV22" s="95"/>
      <c r="DW22" s="95"/>
      <c r="DX22" s="95"/>
      <c r="DY22" s="121"/>
      <c r="ED22" s="27"/>
      <c r="EE22" s="27"/>
      <c r="EF22" s="27"/>
      <c r="EG22" s="27"/>
      <c r="FL22" s="121"/>
      <c r="FO22" s="27"/>
      <c r="FP22" s="27"/>
      <c r="FQ22" s="27"/>
      <c r="FR22" s="27"/>
      <c r="FS22" s="27"/>
      <c r="FT22" s="27"/>
      <c r="FU22" s="27"/>
      <c r="FV22" s="27"/>
      <c r="FW22" s="27"/>
      <c r="FX22" s="27"/>
      <c r="FY22" s="27"/>
      <c r="FZ22" s="27"/>
      <c r="GA22" s="177"/>
      <c r="GB22" s="177"/>
      <c r="GC22" s="177"/>
      <c r="GD22" s="177"/>
      <c r="GE22" s="177"/>
      <c r="GF22" s="177"/>
      <c r="GG22" s="177"/>
      <c r="GH22" s="27"/>
      <c r="GI22" s="27"/>
      <c r="GJ22" s="27"/>
      <c r="GK22" s="27"/>
      <c r="GL22" s="27"/>
      <c r="GM22" s="27"/>
      <c r="GN22" s="27"/>
      <c r="GO22" s="27"/>
      <c r="GP22" s="27"/>
      <c r="GQ22" s="27"/>
      <c r="GR22" s="27"/>
      <c r="GS22" s="177"/>
      <c r="GT22" s="177"/>
      <c r="GU22" s="177"/>
      <c r="GV22" s="177"/>
      <c r="GW22" s="177"/>
      <c r="GX22" s="177"/>
      <c r="GY22" s="121"/>
      <c r="HC22" s="3"/>
      <c r="HE22" s="38"/>
      <c r="HF22" s="55"/>
      <c r="HG22" s="38"/>
      <c r="HH22" s="38"/>
      <c r="HL22" s="184"/>
      <c r="HM22" s="95"/>
      <c r="HN22" s="185"/>
      <c r="HO22" s="189"/>
      <c r="HP22" s="185"/>
      <c r="HQ22" s="185"/>
      <c r="HR22" s="121"/>
      <c r="HV22" s="211"/>
      <c r="HX22" s="212"/>
      <c r="HY22" s="213"/>
      <c r="HZ22" s="212"/>
      <c r="IA22" s="219"/>
      <c r="IE22" s="211"/>
      <c r="IG22" s="212"/>
      <c r="IH22" s="213"/>
      <c r="II22" s="212"/>
      <c r="IJ22" s="219"/>
      <c r="IN22" s="211"/>
      <c r="IP22" s="212"/>
      <c r="IQ22" s="213"/>
      <c r="IR22" s="212"/>
      <c r="IS22" s="212"/>
      <c r="IW22" s="211"/>
      <c r="IY22" s="212"/>
      <c r="IZ22" s="213"/>
      <c r="JA22" s="212"/>
      <c r="JB22" s="212"/>
    </row>
    <row r="23" spans="1:262" x14ac:dyDescent="0.2">
      <c r="A23" s="3"/>
      <c r="E23" s="11">
        <f>$E5+$E6+$E7+$E8+$E9+$E10+$E11+$E12+$E13+$E14+$E15+$E16+$E17+$E18+$E19+$E20+$E21+$E22</f>
        <v>3.0049999999999999</v>
      </c>
      <c r="H23" s="20"/>
      <c r="I23" s="21"/>
      <c r="M23" s="94"/>
      <c r="O23" s="96"/>
      <c r="P23" s="95"/>
      <c r="R23" s="11"/>
      <c r="S23" s="11"/>
      <c r="T23" s="11"/>
      <c r="U23" s="11"/>
      <c r="V23" s="11"/>
      <c r="W23" s="11"/>
      <c r="X23" s="18"/>
      <c r="AE23" s="27"/>
      <c r="AF23" s="27"/>
      <c r="AG23" s="94"/>
      <c r="AH23" s="94"/>
      <c r="AI23" s="94"/>
      <c r="AJ23" s="27"/>
      <c r="AK23" s="95"/>
      <c r="AL23" s="27"/>
      <c r="AM23" s="27"/>
      <c r="AN23" s="27"/>
      <c r="AO23" s="27"/>
      <c r="AP23" s="27"/>
      <c r="AQ23" s="27"/>
      <c r="AR23" s="27"/>
      <c r="AS23" s="1"/>
      <c r="AT23" s="152"/>
      <c r="AU23" s="152"/>
      <c r="AV23" s="152"/>
      <c r="AW23" s="152"/>
      <c r="AX23" s="152"/>
      <c r="AY23" s="18"/>
      <c r="BC23" s="94"/>
      <c r="BD23" s="94"/>
      <c r="BE23" s="94"/>
      <c r="BI23" s="27"/>
      <c r="BJ23" s="27"/>
      <c r="BM23" s="94"/>
      <c r="BN23" s="94"/>
      <c r="BO23" s="94"/>
      <c r="BP23" s="95"/>
      <c r="BQ23" s="95"/>
      <c r="BR23" s="95"/>
      <c r="BW23" s="94"/>
      <c r="BX23" s="94"/>
      <c r="BY23" s="94"/>
      <c r="BZ23" s="95"/>
      <c r="CA23" s="95"/>
      <c r="CB23" s="95"/>
      <c r="CG23" s="18"/>
      <c r="CK23" s="3"/>
      <c r="CN23" s="95"/>
      <c r="CQ23" s="3"/>
      <c r="CR23" s="95"/>
      <c r="CT23" s="95"/>
      <c r="CV23" s="95"/>
      <c r="CW23" s="3"/>
      <c r="CX23" s="95"/>
      <c r="CZ23" s="95"/>
      <c r="DB23" s="95"/>
      <c r="DC23" s="117"/>
      <c r="DG23" s="3"/>
      <c r="DM23" s="3"/>
      <c r="DR23" s="95"/>
      <c r="DS23" s="3"/>
      <c r="DV23" s="95"/>
      <c r="DW23" s="95"/>
      <c r="DX23" s="95"/>
      <c r="DY23" s="121"/>
      <c r="ED23" s="27"/>
      <c r="EE23" s="27"/>
      <c r="EF23" s="27"/>
      <c r="EG23" s="27"/>
      <c r="FL23" s="121"/>
      <c r="FO23" s="27"/>
      <c r="FP23" s="27"/>
      <c r="FQ23" s="27"/>
      <c r="FR23" s="27"/>
      <c r="FS23" s="27"/>
      <c r="FT23" s="27"/>
      <c r="FU23" s="27"/>
      <c r="FV23" s="27"/>
      <c r="FW23" s="27"/>
      <c r="FX23" s="27"/>
      <c r="FY23" s="27"/>
      <c r="FZ23" s="27"/>
      <c r="GA23" s="177"/>
      <c r="GB23" s="177"/>
      <c r="GC23" s="177"/>
      <c r="GD23" s="177"/>
      <c r="GE23" s="177"/>
      <c r="GF23" s="177"/>
      <c r="GG23" s="177"/>
      <c r="GH23" s="27"/>
      <c r="GI23" s="27"/>
      <c r="GJ23" s="27"/>
      <c r="GK23" s="27"/>
      <c r="GL23" s="27"/>
      <c r="GM23" s="27"/>
      <c r="GN23" s="27"/>
      <c r="GO23" s="27"/>
      <c r="GP23" s="27"/>
      <c r="GQ23" s="27"/>
      <c r="GR23" s="27"/>
      <c r="GS23" s="177"/>
      <c r="GT23" s="177"/>
      <c r="GU23" s="177"/>
      <c r="GV23" s="177"/>
      <c r="GW23" s="177"/>
      <c r="GX23" s="177"/>
      <c r="GY23" s="121"/>
      <c r="HC23" s="3"/>
      <c r="HE23" s="38"/>
      <c r="HF23" s="55"/>
      <c r="HG23" s="38"/>
      <c r="HH23" s="38"/>
      <c r="HL23" s="184"/>
      <c r="HM23" s="95"/>
      <c r="HN23" s="185"/>
      <c r="HO23" s="189"/>
      <c r="HP23" s="185"/>
      <c r="HQ23" s="185"/>
      <c r="HR23" s="121"/>
      <c r="HV23" s="211"/>
      <c r="HX23" s="212"/>
      <c r="HY23" s="213"/>
      <c r="HZ23" s="212"/>
      <c r="IA23" s="219"/>
      <c r="IE23" s="211"/>
      <c r="IG23" s="212"/>
      <c r="IH23" s="213"/>
      <c r="II23" s="212"/>
      <c r="IJ23" s="219"/>
      <c r="IN23" s="211"/>
      <c r="IP23" s="212"/>
      <c r="IQ23" s="213"/>
      <c r="IR23" s="212"/>
      <c r="IS23" s="212"/>
      <c r="IW23" s="211"/>
      <c r="IY23" s="212"/>
      <c r="IZ23" s="213"/>
      <c r="JA23" s="212"/>
      <c r="JB23" s="212"/>
    </row>
    <row r="24" spans="1:262" ht="19" x14ac:dyDescent="0.25">
      <c r="A24" s="24" t="s">
        <v>134</v>
      </c>
      <c r="B24" s="11"/>
      <c r="C24" s="11"/>
      <c r="D24" s="11"/>
      <c r="E24" s="11"/>
      <c r="F24" s="11"/>
      <c r="G24" s="11"/>
      <c r="H24" s="20"/>
      <c r="I24" s="21"/>
      <c r="J24" s="11"/>
      <c r="K24" s="11"/>
      <c r="L24" s="11"/>
      <c r="M24" s="11"/>
      <c r="N24" s="150"/>
      <c r="O24" s="11"/>
      <c r="P24" s="11"/>
      <c r="Q24" s="11"/>
      <c r="X24" s="18"/>
      <c r="AE24" s="27"/>
      <c r="AF24" s="27"/>
      <c r="AG24" s="94"/>
      <c r="AH24" s="94"/>
      <c r="AI24" s="94"/>
      <c r="AJ24" s="27"/>
      <c r="AK24" s="95"/>
      <c r="AL24" s="27"/>
      <c r="AM24" s="27"/>
      <c r="AN24" s="27"/>
      <c r="AO24" s="27"/>
      <c r="AP24" s="27"/>
      <c r="AQ24" s="27"/>
      <c r="AR24" s="27"/>
      <c r="AS24" s="1"/>
      <c r="AT24" s="152"/>
      <c r="AU24" s="152"/>
      <c r="AV24" s="152"/>
      <c r="AW24" s="152"/>
      <c r="AX24" s="152"/>
      <c r="AY24" s="18"/>
      <c r="AZ24" s="11"/>
      <c r="BA24" s="11"/>
      <c r="BB24" s="11"/>
      <c r="BC24" s="136"/>
      <c r="BD24" s="136"/>
      <c r="BE24" s="137"/>
      <c r="BF24" s="39"/>
      <c r="BG24" s="39"/>
      <c r="BH24" s="39"/>
      <c r="BI24" s="139"/>
      <c r="BJ24" s="139"/>
      <c r="BK24" s="11"/>
      <c r="BL24" s="11"/>
      <c r="BM24" s="136"/>
      <c r="BN24" s="136"/>
      <c r="BO24" s="136"/>
      <c r="BP24" s="150"/>
      <c r="BQ24" s="150"/>
      <c r="BR24" s="150"/>
      <c r="BS24" s="11"/>
      <c r="BT24" s="11"/>
      <c r="BU24" s="11"/>
      <c r="BV24" s="11"/>
      <c r="BW24" s="136"/>
      <c r="BX24" s="136"/>
      <c r="BY24" s="136"/>
      <c r="BZ24" s="150"/>
      <c r="CA24" s="150"/>
      <c r="CB24" s="150"/>
      <c r="CC24" s="11"/>
      <c r="CD24" s="11"/>
      <c r="CE24" s="11"/>
      <c r="CF24" s="11"/>
      <c r="CG24" s="18"/>
      <c r="CH24" s="11"/>
      <c r="CI24" s="11"/>
      <c r="CJ24" s="11"/>
      <c r="CK24" s="48"/>
      <c r="CL24" s="11"/>
      <c r="CM24" s="11"/>
      <c r="CN24" s="150"/>
      <c r="CO24" s="11"/>
      <c r="CP24" s="11"/>
      <c r="CQ24" s="48"/>
      <c r="CR24" s="150"/>
      <c r="CS24" s="11"/>
      <c r="CT24" s="150"/>
      <c r="CU24" s="11"/>
      <c r="CV24" s="150"/>
      <c r="CW24" s="48"/>
      <c r="CX24" s="150"/>
      <c r="CY24" s="11"/>
      <c r="CZ24" s="150"/>
      <c r="DA24" s="11"/>
      <c r="DB24" s="150"/>
      <c r="DC24" s="117"/>
      <c r="DD24" s="48"/>
      <c r="DE24" s="11"/>
      <c r="DF24" s="11"/>
      <c r="DG24" s="48"/>
      <c r="DH24" s="11"/>
      <c r="DI24" s="11"/>
      <c r="DJ24" s="11"/>
      <c r="DK24" s="11"/>
      <c r="DL24" s="11"/>
      <c r="DM24" s="48"/>
      <c r="DN24" s="11"/>
      <c r="DO24" s="11"/>
      <c r="DP24" s="11"/>
      <c r="DQ24" s="11"/>
      <c r="DR24" s="150"/>
      <c r="DS24" s="48"/>
      <c r="DT24" s="11"/>
      <c r="DU24" s="11"/>
      <c r="DV24" s="150"/>
      <c r="DW24" s="150"/>
      <c r="DX24" s="150"/>
      <c r="DY24" s="121"/>
      <c r="DZ24" s="48"/>
      <c r="EA24" s="125"/>
      <c r="EB24" s="11"/>
      <c r="EC24" s="11"/>
      <c r="ED24" s="139"/>
      <c r="EE24" s="139"/>
      <c r="EF24" s="139"/>
      <c r="EG24" s="139"/>
      <c r="EH24" s="11"/>
      <c r="EI24" s="11"/>
      <c r="EJ24" s="11"/>
      <c r="EK24" s="11"/>
      <c r="EL24" s="11"/>
      <c r="EM24" s="11"/>
      <c r="EN24" s="11"/>
      <c r="EO24" s="11"/>
      <c r="EP24" s="11"/>
      <c r="EQ24" s="11"/>
      <c r="ER24" s="11"/>
      <c r="ES24" s="11"/>
      <c r="ET24" s="11"/>
      <c r="EU24" s="11"/>
      <c r="EV24" s="11"/>
      <c r="EW24" s="11"/>
      <c r="EX24" s="11"/>
      <c r="EY24" s="11"/>
      <c r="EZ24" s="11"/>
      <c r="FA24" s="11"/>
      <c r="FB24" s="11"/>
      <c r="FC24" s="11"/>
      <c r="FD24" s="11"/>
      <c r="FE24" s="11"/>
      <c r="FF24" s="11"/>
      <c r="FG24" s="11"/>
      <c r="FH24" s="11"/>
      <c r="FI24" s="11"/>
      <c r="FJ24" s="11"/>
      <c r="FK24" s="11"/>
      <c r="FL24" s="121"/>
      <c r="FM24" s="139"/>
      <c r="FN24" s="139"/>
      <c r="FO24" s="139"/>
      <c r="FP24" s="139"/>
      <c r="FQ24" s="139"/>
      <c r="FR24" s="139"/>
      <c r="FS24" s="139"/>
      <c r="FT24" s="139"/>
      <c r="FU24" s="139"/>
      <c r="FV24" s="139"/>
      <c r="FW24" s="139"/>
      <c r="FX24" s="139"/>
      <c r="FY24" s="139"/>
      <c r="FZ24" s="139"/>
      <c r="GA24" s="175"/>
      <c r="GB24" s="175"/>
      <c r="GC24" s="175"/>
      <c r="GD24" s="175"/>
      <c r="GE24" s="175"/>
      <c r="GF24" s="175"/>
      <c r="GG24" s="175"/>
      <c r="GH24" s="139"/>
      <c r="GI24" s="139"/>
      <c r="GJ24" s="139"/>
      <c r="GK24" s="139"/>
      <c r="GL24" s="139"/>
      <c r="GM24" s="139"/>
      <c r="GN24" s="139"/>
      <c r="GO24" s="139"/>
      <c r="GP24" s="139"/>
      <c r="GQ24" s="139"/>
      <c r="GR24" s="139"/>
      <c r="GS24" s="175"/>
      <c r="GT24" s="175"/>
      <c r="GU24" s="175"/>
      <c r="GV24" s="175"/>
      <c r="GW24" s="175"/>
      <c r="GX24" s="175"/>
      <c r="GY24" s="121"/>
      <c r="GZ24" s="11"/>
      <c r="HA24" s="11"/>
      <c r="HB24" s="39"/>
      <c r="HC24" s="48"/>
      <c r="HD24" s="11"/>
      <c r="HE24" s="39"/>
      <c r="HF24" s="56"/>
      <c r="HG24" s="39"/>
      <c r="HH24" s="39"/>
      <c r="HI24" s="11"/>
      <c r="HJ24" s="11"/>
      <c r="HK24" s="39"/>
      <c r="HL24" s="186"/>
      <c r="HM24" s="150"/>
      <c r="HN24" s="179"/>
      <c r="HO24" s="190"/>
      <c r="HP24" s="179"/>
      <c r="HQ24" s="179"/>
      <c r="HR24" s="121"/>
      <c r="HS24" s="175"/>
      <c r="HT24" s="175"/>
      <c r="HU24" s="202"/>
      <c r="HV24" s="214"/>
      <c r="HW24" s="175"/>
      <c r="HX24" s="202"/>
      <c r="HY24" s="215"/>
      <c r="HZ24" s="202"/>
      <c r="IA24" s="216"/>
      <c r="IB24" s="175"/>
      <c r="IC24" s="175"/>
      <c r="ID24" s="202"/>
      <c r="IE24" s="214"/>
      <c r="IF24" s="175"/>
      <c r="IG24" s="202"/>
      <c r="IH24" s="215"/>
      <c r="II24" s="202"/>
      <c r="IJ24" s="216"/>
      <c r="IK24" s="175"/>
      <c r="IL24" s="175"/>
      <c r="IM24" s="202"/>
      <c r="IN24" s="214"/>
      <c r="IO24" s="175"/>
      <c r="IP24" s="202"/>
      <c r="IQ24" s="215"/>
      <c r="IR24" s="202"/>
      <c r="IS24" s="202"/>
      <c r="IT24" s="175"/>
      <c r="IU24" s="175"/>
      <c r="IV24" s="202"/>
      <c r="IW24" s="214"/>
      <c r="IX24" s="175"/>
      <c r="IY24" s="202"/>
      <c r="IZ24" s="215"/>
      <c r="JA24" s="202"/>
      <c r="JB24" s="202"/>
    </row>
    <row r="25" spans="1:262" x14ac:dyDescent="0.2">
      <c r="A25" s="3" t="s">
        <v>47</v>
      </c>
      <c r="B25">
        <v>1362</v>
      </c>
      <c r="C25">
        <v>101</v>
      </c>
      <c r="D25">
        <v>14.28</v>
      </c>
      <c r="E25">
        <v>0.57999999999999996</v>
      </c>
      <c r="F25" s="2">
        <f t="shared" ref="F25:F37" si="45">B25*E25</f>
        <v>789.95999999999992</v>
      </c>
      <c r="G25" t="s">
        <v>11</v>
      </c>
      <c r="H25" s="20"/>
      <c r="I25" s="21"/>
      <c r="J25">
        <v>790</v>
      </c>
      <c r="K25" s="94">
        <f xml:space="preserve"> 0.0096 * 6 * 110.16</f>
        <v>6.3452159999999997</v>
      </c>
      <c r="L25" s="94">
        <v>416.14</v>
      </c>
      <c r="M25" s="94">
        <f t="shared" ref="M25:M51" si="46" xml:space="preserve"> 1.24 * 6 * 110.16</f>
        <v>819.59039999999993</v>
      </c>
      <c r="N25" s="95">
        <f t="shared" ref="N25:N51" si="47" xml:space="preserve"> 8809 * 6 * 110.16</f>
        <v>5822396.6399999997</v>
      </c>
      <c r="O25" s="96">
        <f t="shared" ref="O25:O51" si="48">3442905*6*110.16</f>
        <v>2275622488.7999997</v>
      </c>
      <c r="P25" s="95">
        <f t="shared" ref="P25:P51" si="49" xml:space="preserve"> 6877000 * 6 *110.16</f>
        <v>4545421920</v>
      </c>
      <c r="Q25">
        <v>14.28</v>
      </c>
      <c r="R25" s="27">
        <f t="shared" ref="R25:R42" si="50" xml:space="preserve"> J25 * K26 * Q25</f>
        <v>71581.650739199991</v>
      </c>
      <c r="S25" s="27">
        <f t="shared" ref="S25:S51" si="51" xml:space="preserve"> J25 * L25 * Q25</f>
        <v>4694558.567999999</v>
      </c>
      <c r="T25" s="27">
        <f t="shared" ref="T25:T51" si="52" xml:space="preserve"> J25 * M25 * Q25</f>
        <v>9245963.2204799987</v>
      </c>
      <c r="U25">
        <f t="shared" ref="U25:U51" si="53" xml:space="preserve"> J25 * N25 * Q25</f>
        <v>65683620975.167992</v>
      </c>
      <c r="V25" s="27">
        <f t="shared" ref="V25:V51" si="54" xml:space="preserve"> J25 * O25 * Q25</f>
        <v>25671752420650.555</v>
      </c>
      <c r="W25" s="27">
        <f t="shared" ref="W25:W51" si="55" xml:space="preserve"> J25 * P25 * Q25</f>
        <v>51277813763904</v>
      </c>
      <c r="X25" s="18"/>
      <c r="Y25">
        <v>2.3999999999999998E-3</v>
      </c>
      <c r="Z25">
        <v>0.99760000000000004</v>
      </c>
      <c r="AA25" s="94">
        <f t="shared" ref="AA25:AA51" si="56" xml:space="preserve"> R25 * Y25</f>
        <v>171.79596177407996</v>
      </c>
      <c r="AB25" s="94">
        <f t="shared" ref="AB25:AB51" si="57" xml:space="preserve"> S25 * Y25</f>
        <v>11266.940563199996</v>
      </c>
      <c r="AC25" s="94">
        <f t="shared" ref="AC25:AC51" si="58" xml:space="preserve"> T25 * Y25</f>
        <v>22190.311729151996</v>
      </c>
      <c r="AD25">
        <f t="shared" ref="AD25:AD51" si="59" xml:space="preserve"> U25 * Y25</f>
        <v>157640690.34040317</v>
      </c>
      <c r="AE25" s="27">
        <f t="shared" ref="AE25:AE51" si="60">V25 * Y25</f>
        <v>61612205809.561325</v>
      </c>
      <c r="AF25" s="27">
        <f t="shared" ref="AF25:AF51" si="61" xml:space="preserve"> W25 * Y25</f>
        <v>123066753033.36958</v>
      </c>
      <c r="AG25" s="94">
        <f t="shared" ref="AG25:AG51" si="62" xml:space="preserve"> R25 * Z25</f>
        <v>71409.85477742592</v>
      </c>
      <c r="AH25" s="94">
        <f t="shared" ref="AH25:AH51" si="63" xml:space="preserve"> S25 * Z25</f>
        <v>4683291.627436799</v>
      </c>
      <c r="AI25" s="94">
        <f t="shared" ref="AI25:AI51" si="64" xml:space="preserve"> T25 * Z25</f>
        <v>9223772.908750847</v>
      </c>
      <c r="AJ25" s="27">
        <f t="shared" ref="AJ25:AJ51" si="65" xml:space="preserve"> U25 * Z25</f>
        <v>65525980284.827591</v>
      </c>
      <c r="AK25" s="95">
        <f t="shared" ref="AK25:AK51" si="66" xml:space="preserve"> V25 * Z25</f>
        <v>25610140214840.996</v>
      </c>
      <c r="AL25" s="27">
        <f t="shared" ref="AL25:AL51" si="67" xml:space="preserve"> W25 * Z25</f>
        <v>51154747010870.633</v>
      </c>
      <c r="AM25" s="142">
        <f xml:space="preserve"> SUM(AA25:AA51)</f>
        <v>885.65179742207999</v>
      </c>
      <c r="AN25" s="142">
        <f xml:space="preserve"> SUM(AB25:AB51)</f>
        <v>58083.938983199987</v>
      </c>
      <c r="AO25" s="142">
        <f xml:space="preserve"> SUM(AC25:AC51)</f>
        <v>114396.69050035196</v>
      </c>
      <c r="AP25" s="142">
        <f xml:space="preserve"> SUM(AG25:AG51)</f>
        <v>368135.9304617779</v>
      </c>
      <c r="AQ25" s="142">
        <f xml:space="preserve"> SUM(AH25:AH51)</f>
        <v>24143557.304016799</v>
      </c>
      <c r="AR25" s="142">
        <f xml:space="preserve"> SUM(AI25:AI51)</f>
        <v>47550891.017979644</v>
      </c>
      <c r="AS25" s="27">
        <f xml:space="preserve"> U25 * Y25</f>
        <v>157640690.34040317</v>
      </c>
      <c r="AT25" s="152">
        <f xml:space="preserve"> V25 * Y25</f>
        <v>61612205809.561325</v>
      </c>
      <c r="AU25" s="152">
        <f xml:space="preserve"> W25 * Y25</f>
        <v>123066753033.36958</v>
      </c>
      <c r="AV25" s="152">
        <f xml:space="preserve"> U25 * Z25</f>
        <v>65525980284.827591</v>
      </c>
      <c r="AW25" s="152">
        <f xml:space="preserve"> V25 * Z25</f>
        <v>25610140214840.996</v>
      </c>
      <c r="AX25" s="152">
        <f xml:space="preserve"> W25  * Z25</f>
        <v>51154747010870.633</v>
      </c>
      <c r="AY25" s="18"/>
      <c r="AZ25">
        <v>426</v>
      </c>
      <c r="BA25" s="34">
        <f t="shared" ref="BA25:BA35" si="68" xml:space="preserve"> AZ25 / 8760</f>
        <v>4.8630136986301371E-2</v>
      </c>
      <c r="BB25" s="34">
        <f t="shared" ref="BB25:BB35" si="69" xml:space="preserve"> 1 - BA25</f>
        <v>0.95136986301369864</v>
      </c>
      <c r="BC25" s="94">
        <f t="shared" ref="BC25:BC35" si="70" xml:space="preserve"> AG25 * BA25</f>
        <v>3472.6710199981098</v>
      </c>
      <c r="BD25" s="94">
        <f t="shared" ref="BD25:BD35" si="71" xml:space="preserve"> BC25 /2</f>
        <v>1736.3355099990549</v>
      </c>
      <c r="BE25" s="94">
        <f t="shared" ref="BE25:BE35" si="72" xml:space="preserve"> AG25 * BB25 + BD25</f>
        <v>69673.519267426876</v>
      </c>
      <c r="BF25">
        <f t="shared" ref="BF25:BF35" si="73" xml:space="preserve"> AJ25 * BA25</f>
        <v>3186537397.4128485</v>
      </c>
      <c r="BG25">
        <f t="shared" ref="BG25:BG35" si="74" xml:space="preserve"> BF25 / 2</f>
        <v>1593268698.7064242</v>
      </c>
      <c r="BH25">
        <f t="shared" ref="BH25:BH35" si="75" xml:space="preserve"> AJ25 * BB25 + BG25</f>
        <v>63932711586.121162</v>
      </c>
      <c r="BI25" s="142">
        <f xml:space="preserve"> SUM(BD25:BD51)</f>
        <v>3038.197472515546</v>
      </c>
      <c r="BJ25" s="142">
        <f xml:space="preserve"> SUM(BE25:BE51)</f>
        <v>280102.26917920209</v>
      </c>
      <c r="BK25" s="1">
        <f xml:space="preserve"> SUM(BG25:BG51)</f>
        <v>2787862659.9363999</v>
      </c>
      <c r="BL25" s="1">
        <f>SUM(BH25:BH51)</f>
        <v>257023009291.62411</v>
      </c>
      <c r="BM25" s="94">
        <f xml:space="preserve"> AH25 * BA25</f>
        <v>227749.11338904983</v>
      </c>
      <c r="BN25" s="94">
        <f t="shared" ref="BN25:BN35" si="76" xml:space="preserve"> BM25 / 2</f>
        <v>113874.55669452492</v>
      </c>
      <c r="BO25" s="94">
        <f t="shared" ref="BO25:BO35" si="77" xml:space="preserve"> AH25 * BB25 + BN25</f>
        <v>4569417.0707422746</v>
      </c>
      <c r="BP25" s="95">
        <f xml:space="preserve"> AK25 * BA25</f>
        <v>1245424626886.1033</v>
      </c>
      <c r="BQ25" s="95">
        <f t="shared" ref="BQ25:BQ35" si="78" xml:space="preserve"> BP25 / 2</f>
        <v>622712313443.05164</v>
      </c>
      <c r="BR25" s="95">
        <f t="shared" ref="BR25:BR35" si="79" xml:space="preserve"> AK25 * BB25 + BQ25</f>
        <v>24987427901397.945</v>
      </c>
      <c r="BS25" s="138">
        <f xml:space="preserve"> SUM(BN25:BN51)</f>
        <v>199254.91838459388</v>
      </c>
      <c r="BT25" s="138">
        <f xml:space="preserve"> SUM(BO25:BO51)</f>
        <v>18370022.123160686</v>
      </c>
      <c r="BU25" s="152">
        <f xml:space="preserve"> SUM(BQ25:BQ51)</f>
        <v>1089606798865.7434</v>
      </c>
      <c r="BV25" s="152">
        <f xml:space="preserve"> SUM(BR25:BR51)</f>
        <v>100454739902960.48</v>
      </c>
      <c r="BW25" s="94">
        <f xml:space="preserve"> AI25 * BA25</f>
        <v>448553.34008308913</v>
      </c>
      <c r="BX25" s="94">
        <f t="shared" ref="BX25:BX35" si="80" xml:space="preserve"> BW25 / 2</f>
        <v>224276.67004154457</v>
      </c>
      <c r="BY25" s="94">
        <f t="shared" ref="BY25:BY35" si="81" xml:space="preserve"> AI25 * BB25 + BX25</f>
        <v>8999496.2387093026</v>
      </c>
      <c r="BZ25" s="95">
        <f t="shared" ref="BZ25:BZ51" si="82" xml:space="preserve"> AL25 * BA25</f>
        <v>2487662354638.2295</v>
      </c>
      <c r="CA25" s="95">
        <f t="shared" ref="CA25:CA35" si="83" xml:space="preserve"> BZ25 / 2</f>
        <v>1243831177319.1147</v>
      </c>
      <c r="CB25" s="95">
        <f t="shared" ref="CB25:CB35" si="84" xml:space="preserve"> AL25 * BB25 + CA25</f>
        <v>49910915833551.523</v>
      </c>
      <c r="CC25" s="138">
        <f xml:space="preserve"> SUM(BX25:BX51)</f>
        <v>392433.84019992466</v>
      </c>
      <c r="CD25" s="138">
        <f xml:space="preserve"> SUM(BY25:BY51)</f>
        <v>36179876.435646951</v>
      </c>
      <c r="CE25" s="152">
        <f xml:space="preserve"> SUM(CA25:CA51)</f>
        <v>2176425418592.6472</v>
      </c>
      <c r="CF25" s="152">
        <f xml:space="preserve"> SUM(CB25:CB51)</f>
        <v>200652427619309.69</v>
      </c>
      <c r="CG25" s="18"/>
      <c r="CH25" s="34">
        <v>0.1152</v>
      </c>
      <c r="CI25" s="34">
        <v>5.4199999999999998E-2</v>
      </c>
      <c r="CJ25">
        <v>2.3E-2</v>
      </c>
      <c r="CK25" s="47">
        <f xml:space="preserve"> BJ25 * CH25</f>
        <v>32267.78140944408</v>
      </c>
      <c r="CL25" s="27">
        <f xml:space="preserve"> BL25 * CH25</f>
        <v>29609050670.395096</v>
      </c>
      <c r="CM25" s="27">
        <f xml:space="preserve"> BJ25 * CI25</f>
        <v>15181.542989512753</v>
      </c>
      <c r="CN25" s="95">
        <f xml:space="preserve"> BL25 * CI25</f>
        <v>13930647103.606026</v>
      </c>
      <c r="CO25" s="27">
        <f xml:space="preserve"> BJ25 * CJ25</f>
        <v>6442.3521911216476</v>
      </c>
      <c r="CP25" s="27">
        <f xml:space="preserve"> BL25 * CJ25</f>
        <v>5911529213.7073545</v>
      </c>
      <c r="CQ25" s="47">
        <f xml:space="preserve"> BT25 * CH25</f>
        <v>2116226.5485881111</v>
      </c>
      <c r="CR25" s="95">
        <f xml:space="preserve"> BV25 * CH25</f>
        <v>11572386036821.047</v>
      </c>
      <c r="CS25" s="27">
        <f xml:space="preserve"> BT25 * CI25</f>
        <v>995655.19907530921</v>
      </c>
      <c r="CT25" s="95">
        <f xml:space="preserve"> BV25 * CI25</f>
        <v>5444646902740.458</v>
      </c>
      <c r="CU25" s="27">
        <f xml:space="preserve"> BT25 * CJ25</f>
        <v>422510.50883269578</v>
      </c>
      <c r="CV25" s="95">
        <f xml:space="preserve"> BV25 * CJ25</f>
        <v>2310459017768.0913</v>
      </c>
      <c r="CW25" s="47">
        <f xml:space="preserve"> CD25 * CH25</f>
        <v>4167921.7653865288</v>
      </c>
      <c r="CX25" s="95">
        <f xml:space="preserve"> CF25 * CH25</f>
        <v>23115159661744.477</v>
      </c>
      <c r="CY25" s="27">
        <f xml:space="preserve"> CD25 * CI25</f>
        <v>1960949.3028120648</v>
      </c>
      <c r="CZ25" s="95">
        <f xml:space="preserve"> CF25 * CI25</f>
        <v>10875361576966.584</v>
      </c>
      <c r="DA25" s="27">
        <f xml:space="preserve"> CD25 * CJ25</f>
        <v>832137.15801987983</v>
      </c>
      <c r="DB25" s="95">
        <f xml:space="preserve"> CF25 * CJ25</f>
        <v>4615005835244.123</v>
      </c>
      <c r="DC25" s="117"/>
      <c r="DD25" s="34">
        <f xml:space="preserve"> 1 - CH5</f>
        <v>0.88480000000000003</v>
      </c>
      <c r="DE25" s="34">
        <f xml:space="preserve"> 1 - CI5</f>
        <v>0.94579999999999997</v>
      </c>
      <c r="DF25">
        <f xml:space="preserve"> 1 - CJ5</f>
        <v>0.97699999999999998</v>
      </c>
      <c r="DG25" s="47">
        <f xml:space="preserve"> BJ25 * DD25</f>
        <v>247834.48776975801</v>
      </c>
      <c r="DH25" s="27">
        <f xml:space="preserve"> BJ25 * DE25</f>
        <v>264920.7261896893</v>
      </c>
      <c r="DI25" s="27">
        <f xml:space="preserve"> BJ25 * DF25</f>
        <v>273659.91698808043</v>
      </c>
      <c r="DJ25" s="27">
        <f xml:space="preserve"> BL25 * DD25</f>
        <v>227413958621.22903</v>
      </c>
      <c r="DK25" s="27">
        <f xml:space="preserve"> BL25 * DE25</f>
        <v>243092362188.01807</v>
      </c>
      <c r="DL25" s="27">
        <f xml:space="preserve"> BL25 * DF25</f>
        <v>251111480077.91675</v>
      </c>
      <c r="DM25" s="47">
        <f xml:space="preserve"> BT25 * DD25</f>
        <v>16253795.574572576</v>
      </c>
      <c r="DN25" s="27">
        <f xml:space="preserve"> BT25 * DE25</f>
        <v>17374366.924085375</v>
      </c>
      <c r="DO25" s="27">
        <f xml:space="preserve"> BT25 * DF25</f>
        <v>17947511.61432799</v>
      </c>
      <c r="DP25" s="95">
        <f xml:space="preserve"> BV25 * DD25</f>
        <v>88882353866139.438</v>
      </c>
      <c r="DQ25" s="95">
        <f xml:space="preserve"> BV25 * DE25</f>
        <v>95010093000220.031</v>
      </c>
      <c r="DR25" s="95">
        <f xml:space="preserve"> BV25 * DF25</f>
        <v>98144280885192.391</v>
      </c>
      <c r="DS25" s="47">
        <f xml:space="preserve"> CD25 * DD25</f>
        <v>32011954.670260422</v>
      </c>
      <c r="DT25" s="27">
        <f xml:space="preserve"> CD25 * DE25</f>
        <v>34218927.132834889</v>
      </c>
      <c r="DU25" s="27">
        <f xml:space="preserve"> CD25 * DF25</f>
        <v>35347739.277627073</v>
      </c>
      <c r="DV25" s="95">
        <f xml:space="preserve"> CF25 * DD25</f>
        <v>177537267957565.22</v>
      </c>
      <c r="DW25" s="95">
        <f xml:space="preserve"> CF25 * DE25</f>
        <v>189777066042343.09</v>
      </c>
      <c r="DX25" s="95">
        <f xml:space="preserve"> CF25 * DF25</f>
        <v>196037421784065.56</v>
      </c>
      <c r="DY25" s="121"/>
      <c r="DZ25">
        <f xml:space="preserve"> 1 - 0.32</f>
        <v>0.67999999999999994</v>
      </c>
      <c r="EA25">
        <f>1-0.68</f>
        <v>0.31999999999999995</v>
      </c>
      <c r="EB25" s="27">
        <f xml:space="preserve"> DG25 * DZ25</f>
        <v>168527.45168343544</v>
      </c>
      <c r="EC25" s="27">
        <f xml:space="preserve"> DG25 * EA25</f>
        <v>79307.036086322551</v>
      </c>
      <c r="ED25" s="27">
        <f xml:space="preserve"> DH25 * DZ25</f>
        <v>180146.09380898872</v>
      </c>
      <c r="EE25" s="27">
        <f xml:space="preserve"> DH25 * EA25</f>
        <v>84774.632380700568</v>
      </c>
      <c r="EF25" s="27">
        <f xml:space="preserve"> DI25 * DZ25</f>
        <v>186088.74355189467</v>
      </c>
      <c r="EG25" s="27">
        <f xml:space="preserve"> DI25 * EA25</f>
        <v>87571.173436185723</v>
      </c>
      <c r="EH25">
        <f xml:space="preserve"> DJ25 * DZ25</f>
        <v>154641491862.43573</v>
      </c>
      <c r="EI25">
        <f xml:space="preserve"> DJ25 * EA25</f>
        <v>72772466758.793274</v>
      </c>
      <c r="EJ25">
        <f xml:space="preserve"> DK25 * DZ25</f>
        <v>165302806287.85226</v>
      </c>
      <c r="EK25">
        <f xml:space="preserve"> DK25 * EA25</f>
        <v>77789555900.165771</v>
      </c>
      <c r="EL25">
        <f xml:space="preserve"> DL25 * DZ25</f>
        <v>170755806452.98337</v>
      </c>
      <c r="EM25">
        <f xml:space="preserve"> DL25 * EA25</f>
        <v>80355673624.93335</v>
      </c>
      <c r="EN25">
        <f xml:space="preserve"> DM25 * DZ25</f>
        <v>11052580.990709351</v>
      </c>
      <c r="EO25">
        <f xml:space="preserve"> DM25 * EA25</f>
        <v>5201214.5838632239</v>
      </c>
      <c r="EP25">
        <f xml:space="preserve"> DN25 * DZ25</f>
        <v>11814569.508378053</v>
      </c>
      <c r="EQ25">
        <f xml:space="preserve"> DN25 * EA25</f>
        <v>5559797.415707319</v>
      </c>
      <c r="ER25">
        <f xml:space="preserve"> DO25 * DZ25</f>
        <v>12204307.897743031</v>
      </c>
      <c r="ES25">
        <f xml:space="preserve"> DO25 * EA25</f>
        <v>5743203.7165849553</v>
      </c>
      <c r="ET25">
        <f xml:space="preserve"> DP25 * DZ25</f>
        <v>60440000628974.812</v>
      </c>
      <c r="EU25">
        <f xml:space="preserve"> DP25 * EA25</f>
        <v>28442353237164.617</v>
      </c>
      <c r="EV25">
        <f xml:space="preserve"> DQ25 * DZ25</f>
        <v>64606863240149.617</v>
      </c>
      <c r="EW25">
        <f xml:space="preserve"> DQ25 * EA25</f>
        <v>30403229760070.406</v>
      </c>
      <c r="EX25">
        <f>DR25 * DZ25</f>
        <v>66738111001930.82</v>
      </c>
      <c r="EY25">
        <f>DR25 * EA25</f>
        <v>31406169883261.559</v>
      </c>
      <c r="EZ25">
        <f xml:space="preserve"> DS25 * DZ25</f>
        <v>21768129.175777085</v>
      </c>
      <c r="FA25">
        <f xml:space="preserve"> DS25 * EA25</f>
        <v>10243825.494483333</v>
      </c>
      <c r="FB25">
        <f xml:space="preserve"> DT25 * DZ25</f>
        <v>23268870.450327724</v>
      </c>
      <c r="FC25">
        <f xml:space="preserve"> DT25 * EA25</f>
        <v>10950056.682507163</v>
      </c>
      <c r="FD25">
        <f xml:space="preserve"> DU25 * DZ25</f>
        <v>24036462.708786409</v>
      </c>
      <c r="FE25">
        <f xml:space="preserve"> DU25 * EA25</f>
        <v>11311276.568840662</v>
      </c>
      <c r="FF25">
        <f xml:space="preserve"> DV25 * DZ25</f>
        <v>120725342211144.34</v>
      </c>
      <c r="FG25">
        <f xml:space="preserve"> DV25 * EA25</f>
        <v>56811925746420.859</v>
      </c>
      <c r="FH25">
        <f xml:space="preserve"> DW25 * DZ25</f>
        <v>129048404908793.3</v>
      </c>
      <c r="FI25">
        <f xml:space="preserve"> DW25 * EA25</f>
        <v>60728661133549.781</v>
      </c>
      <c r="FJ25">
        <f xml:space="preserve"> DX25 * DZ25</f>
        <v>133305446813164.56</v>
      </c>
      <c r="FK25">
        <f xml:space="preserve"> DX25 * EA25</f>
        <v>62731974970900.969</v>
      </c>
      <c r="FL25" s="121"/>
      <c r="FM25">
        <f xml:space="preserve"> 1 - 0.01</f>
        <v>0.99</v>
      </c>
      <c r="FN25">
        <v>0.73</v>
      </c>
      <c r="FO25" s="27">
        <f xml:space="preserve"> EB25 * FM25</f>
        <v>166842.17716660109</v>
      </c>
      <c r="FP25" s="27">
        <f xml:space="preserve"> ED25 * FM25</f>
        <v>178344.63287089884</v>
      </c>
      <c r="FQ25" s="27">
        <f xml:space="preserve"> EF25 * FM25</f>
        <v>184227.85611637571</v>
      </c>
      <c r="FR25" s="27">
        <f xml:space="preserve"> EN25 * FM25</f>
        <v>10942055.180802258</v>
      </c>
      <c r="FS25" s="27">
        <f xml:space="preserve"> EP25 * FM25</f>
        <v>11696423.813294273</v>
      </c>
      <c r="FT25" s="27">
        <f xml:space="preserve"> ER25 * FM25</f>
        <v>12082264.818765601</v>
      </c>
      <c r="FU25" s="27">
        <f xml:space="preserve"> EZ25 * FM25</f>
        <v>21550447.884019315</v>
      </c>
      <c r="FV25" s="27">
        <f xml:space="preserve"> FB25 * FM25</f>
        <v>23036181.745824445</v>
      </c>
      <c r="FW25" s="27">
        <f xml:space="preserve"> FD25 * FM25</f>
        <v>23796098.081698544</v>
      </c>
      <c r="FX25" s="27">
        <f xml:space="preserve"> EH25 * FM25</f>
        <v>153095076943.81137</v>
      </c>
      <c r="FY25" s="27">
        <f xml:space="preserve"> EJ25 * FM25</f>
        <v>163649778224.97375</v>
      </c>
      <c r="FZ25" s="27">
        <f xml:space="preserve"> EL25 * FM25</f>
        <v>169048248388.45352</v>
      </c>
      <c r="GA25" s="177">
        <f xml:space="preserve"> ET25 * FM25</f>
        <v>59835600622685.062</v>
      </c>
      <c r="GB25" s="177">
        <f xml:space="preserve"> EV25 * FM25</f>
        <v>63960794607748.117</v>
      </c>
      <c r="GC25" s="177">
        <f xml:space="preserve"> EX25 * FM25</f>
        <v>66070729891911.508</v>
      </c>
      <c r="GD25" s="177">
        <f xml:space="preserve"> FF25 * FM25</f>
        <v>119518088789032.91</v>
      </c>
      <c r="GE25" s="177">
        <f xml:space="preserve"> FH25 * FM25</f>
        <v>127757920859705.36</v>
      </c>
      <c r="GF25" s="177">
        <f xml:space="preserve"> FJ25 * FM25</f>
        <v>131972392345032.92</v>
      </c>
      <c r="GG25" s="27">
        <f xml:space="preserve"> EB25 * FN25</f>
        <v>123025.03972890787</v>
      </c>
      <c r="GH25" s="27">
        <f xml:space="preserve"> ED25 * FN25</f>
        <v>131506.64848056177</v>
      </c>
      <c r="GI25" s="27">
        <f xml:space="preserve"> EF25 * FN25</f>
        <v>135844.78279288311</v>
      </c>
      <c r="GJ25" s="27">
        <f xml:space="preserve"> EN25 * FN25</f>
        <v>8068384.1232178267</v>
      </c>
      <c r="GK25" s="27">
        <f xml:space="preserve"> EP25 * FN25</f>
        <v>8624635.741115978</v>
      </c>
      <c r="GL25" s="27">
        <f xml:space="preserve"> ER25 * FN25</f>
        <v>8909144.7653524131</v>
      </c>
      <c r="GM25" s="27">
        <f xml:space="preserve"> EZ25 * FN25</f>
        <v>15890734.298317272</v>
      </c>
      <c r="GN25" s="27">
        <f xml:space="preserve"> FB25 * FN25</f>
        <v>16986275.428739239</v>
      </c>
      <c r="GO25" s="27">
        <f xml:space="preserve"> FD25 * FN25</f>
        <v>17546617.77741408</v>
      </c>
      <c r="GP25" s="27">
        <f xml:space="preserve"> EH25 * FN25</f>
        <v>112888289059.57808</v>
      </c>
      <c r="GQ25" s="27">
        <f xml:space="preserve"> EJ25 * FN25</f>
        <v>120671048590.13216</v>
      </c>
      <c r="GR25" s="27">
        <f xml:space="preserve"> EL25 * FN25</f>
        <v>124651738710.67786</v>
      </c>
      <c r="GS25" s="177">
        <f xml:space="preserve"> ET25 * FN25</f>
        <v>44121200459151.609</v>
      </c>
      <c r="GT25" s="177">
        <f xml:space="preserve"> EV25 * FN25</f>
        <v>47163010165309.219</v>
      </c>
      <c r="GU25" s="177">
        <f xml:space="preserve"> EX25 * FN25</f>
        <v>48718821031409.5</v>
      </c>
      <c r="GV25" s="177">
        <f xml:space="preserve"> FF25 * FN25</f>
        <v>88129499814135.375</v>
      </c>
      <c r="GW25" s="177">
        <f xml:space="preserve"> FH25 * FN25</f>
        <v>94205335583419.109</v>
      </c>
      <c r="GX25" s="177">
        <f>FJ25 * FN25</f>
        <v>97312976173610.125</v>
      </c>
      <c r="GY25" s="121"/>
      <c r="GZ25" s="27">
        <f xml:space="preserve"> AM25 + BI25 + CK25</f>
        <v>36191.630679381706</v>
      </c>
      <c r="HA25" s="27">
        <f xml:space="preserve"> AM25 + BI25 + CM25</f>
        <v>19105.392259450378</v>
      </c>
      <c r="HB25" s="27">
        <f xml:space="preserve"> AM25 + BI25 + CN25</f>
        <v>13930651027.455296</v>
      </c>
      <c r="HC25" s="47">
        <f xml:space="preserve"> AN25 + BM25 + CQ25</f>
        <v>2402059.6009603608</v>
      </c>
      <c r="HD25" s="27">
        <f xml:space="preserve"> AN25 + BM25 + CS25</f>
        <v>1281488.2514475591</v>
      </c>
      <c r="HE25" s="42">
        <f xml:space="preserve"> AN25 + BM25 + CU25</f>
        <v>708343.56120494567</v>
      </c>
      <c r="HF25" s="54">
        <f xml:space="preserve"> AO25 + CC25 + CW25</f>
        <v>4674752.2960868049</v>
      </c>
      <c r="HG25" s="42">
        <f xml:space="preserve"> AO25 + CC25 + CY25</f>
        <v>2467779.8335123416</v>
      </c>
      <c r="HH25" s="42">
        <f xml:space="preserve"> AO25 + CC25 + DA25</f>
        <v>1338967.6887201564</v>
      </c>
      <c r="HI25" s="27">
        <f xml:space="preserve"> AS25 + BF25 + CL25</f>
        <v>32953228758.148346</v>
      </c>
      <c r="HJ25" s="27">
        <f xml:space="preserve"> AS25 + BF25 + CN25</f>
        <v>17274825191.359276</v>
      </c>
      <c r="HK25" s="27">
        <f xml:space="preserve"> AS25 + BF25 + CP25</f>
        <v>9255707301.4606056</v>
      </c>
      <c r="HL25" s="184">
        <f xml:space="preserve"> AT25 + BU25 + CR25</f>
        <v>12723605041496.352</v>
      </c>
      <c r="HM25" s="95">
        <f xml:space="preserve"> AT25 + BU25 + CT25</f>
        <v>6595865907415.7627</v>
      </c>
      <c r="HN25" s="185">
        <f xml:space="preserve"> AT25 + BU25 + CV25</f>
        <v>3461678022443.396</v>
      </c>
      <c r="HO25" s="189">
        <f xml:space="preserve"> AU25 + CE25 + CX25</f>
        <v>25414651833370.492</v>
      </c>
      <c r="HP25" s="185">
        <f xml:space="preserve"> AU25 + CE25 + CZ25</f>
        <v>13174853748592.602</v>
      </c>
      <c r="HQ25" s="185">
        <f xml:space="preserve"> AU25 + CE25 + DB25</f>
        <v>6914498006870.1396</v>
      </c>
      <c r="HR25" s="121"/>
      <c r="HS25" s="177">
        <f xml:space="preserve"> GG25 + GZ25</f>
        <v>159216.67040828959</v>
      </c>
      <c r="HT25" s="177">
        <f xml:space="preserve"> GH25 + HA25</f>
        <v>150612.04074001213</v>
      </c>
      <c r="HU25" s="177">
        <f xml:space="preserve"> GI25 + HB25</f>
        <v>13930786872.238089</v>
      </c>
      <c r="HV25" s="211">
        <f xml:space="preserve"> HC25 + GJ25</f>
        <v>10470443.724178188</v>
      </c>
      <c r="HW25" s="177">
        <f xml:space="preserve"> HD25 + GK25</f>
        <v>9906123.9925635364</v>
      </c>
      <c r="HX25" s="212">
        <f xml:space="preserve"> HE25 + GL25</f>
        <v>9617488.3265573587</v>
      </c>
      <c r="HY25" s="213">
        <f xml:space="preserve"> GM25 + HF25</f>
        <v>20565486.594404079</v>
      </c>
      <c r="HZ25" s="212">
        <f xml:space="preserve"> GN25 + HG25</f>
        <v>19454055.262251578</v>
      </c>
      <c r="IA25" s="219">
        <f xml:space="preserve"> GO25 + HH25</f>
        <v>18885585.466134235</v>
      </c>
      <c r="IB25" s="177">
        <f>GP25 + GZ25</f>
        <v>112888325251.20876</v>
      </c>
      <c r="IC25" s="177">
        <f xml:space="preserve"> GQ25 + HA25</f>
        <v>120671067695.52441</v>
      </c>
      <c r="ID25" s="177">
        <f xml:space="preserve"> GR25 + HB25</f>
        <v>138582389738.13315</v>
      </c>
      <c r="IE25" s="211">
        <f xml:space="preserve"> GS25 + HC25</f>
        <v>44121202861211.211</v>
      </c>
      <c r="IF25" s="177">
        <f xml:space="preserve">  GT25 + HD25</f>
        <v>47163011446797.469</v>
      </c>
      <c r="IG25" s="212">
        <f xml:space="preserve"> GU25 + HE25</f>
        <v>48718821739753.062</v>
      </c>
      <c r="IH25" s="213">
        <f xml:space="preserve"> GV25 + HF25</f>
        <v>88129504488887.672</v>
      </c>
      <c r="II25" s="212">
        <f xml:space="preserve"> GW25 + HG25</f>
        <v>94205338051198.938</v>
      </c>
      <c r="IJ25" s="219">
        <f xml:space="preserve"> GX25 + HH25</f>
        <v>97312977512577.812</v>
      </c>
      <c r="IK25" s="177">
        <f t="shared" ref="IK25:IS25" si="85" xml:space="preserve"> FO25 + GZ25</f>
        <v>203033.80784598278</v>
      </c>
      <c r="IL25" s="177">
        <f t="shared" si="85"/>
        <v>197450.02513034921</v>
      </c>
      <c r="IM25" s="177">
        <f t="shared" si="85"/>
        <v>13930835255.311413</v>
      </c>
      <c r="IN25" s="211">
        <f t="shared" si="85"/>
        <v>13344114.781762619</v>
      </c>
      <c r="IO25" s="177">
        <f t="shared" si="85"/>
        <v>12977912.064741831</v>
      </c>
      <c r="IP25" s="212">
        <f t="shared" si="85"/>
        <v>12790608.379970547</v>
      </c>
      <c r="IQ25" s="213">
        <f t="shared" si="85"/>
        <v>26225200.180106118</v>
      </c>
      <c r="IR25" s="212">
        <f t="shared" si="85"/>
        <v>25503961.579336785</v>
      </c>
      <c r="IS25" s="212">
        <f t="shared" si="85"/>
        <v>25135065.7704187</v>
      </c>
      <c r="IT25" s="177">
        <f t="shared" ref="IT25:JB25" si="86" xml:space="preserve"> GP25 + HI25</f>
        <v>145841517817.72644</v>
      </c>
      <c r="IU25" s="177">
        <f t="shared" si="86"/>
        <v>137945873781.49142</v>
      </c>
      <c r="IV25" s="177">
        <f t="shared" si="86"/>
        <v>133907446012.13846</v>
      </c>
      <c r="IW25" s="211">
        <f t="shared" si="86"/>
        <v>56844805500647.961</v>
      </c>
      <c r="IX25" s="177">
        <f t="shared" si="86"/>
        <v>53758876072724.984</v>
      </c>
      <c r="IY25" s="212">
        <f t="shared" si="86"/>
        <v>52180499053852.898</v>
      </c>
      <c r="IZ25" s="213">
        <f t="shared" si="86"/>
        <v>113544151647505.88</v>
      </c>
      <c r="JA25" s="212">
        <f t="shared" si="86"/>
        <v>107380189332011.72</v>
      </c>
      <c r="JB25" s="212">
        <f t="shared" si="86"/>
        <v>104227474180480.27</v>
      </c>
    </row>
    <row r="26" spans="1:262" x14ac:dyDescent="0.2">
      <c r="A26" s="3" t="s">
        <v>48</v>
      </c>
      <c r="B26">
        <v>2369</v>
      </c>
      <c r="C26">
        <v>1327</v>
      </c>
      <c r="D26">
        <v>0.63</v>
      </c>
      <c r="E26">
        <v>0.32</v>
      </c>
      <c r="F26" s="2">
        <f t="shared" si="45"/>
        <v>758.08</v>
      </c>
      <c r="G26" t="s">
        <v>11</v>
      </c>
      <c r="H26" s="20"/>
      <c r="I26" s="21"/>
      <c r="J26">
        <v>758</v>
      </c>
      <c r="K26" s="94">
        <f xml:space="preserve"> 0.0096 * 6 * 110.16</f>
        <v>6.3452159999999997</v>
      </c>
      <c r="L26" s="94">
        <v>416.14</v>
      </c>
      <c r="M26" s="94">
        <f t="shared" si="46"/>
        <v>819.59039999999993</v>
      </c>
      <c r="N26" s="95">
        <f t="shared" si="47"/>
        <v>5822396.6399999997</v>
      </c>
      <c r="O26" s="96">
        <f t="shared" si="48"/>
        <v>2275622488.7999997</v>
      </c>
      <c r="P26" s="95">
        <f t="shared" si="49"/>
        <v>4545421920</v>
      </c>
      <c r="Q26">
        <v>0.63</v>
      </c>
      <c r="R26" s="27">
        <f t="shared" si="50"/>
        <v>3030.0944486399999</v>
      </c>
      <c r="S26" s="27">
        <f t="shared" si="51"/>
        <v>198723.49559999999</v>
      </c>
      <c r="T26" s="27">
        <f t="shared" si="52"/>
        <v>391387.19961599994</v>
      </c>
      <c r="U26">
        <f t="shared" si="53"/>
        <v>2780427291.4656</v>
      </c>
      <c r="V26" s="27">
        <f t="shared" si="54"/>
        <v>1086700763301.552</v>
      </c>
      <c r="W26" s="27">
        <f t="shared" si="55"/>
        <v>2170620783676.8</v>
      </c>
      <c r="X26" s="18"/>
      <c r="Y26">
        <v>2.3999999999999998E-3</v>
      </c>
      <c r="Z26">
        <v>0.99760000000000004</v>
      </c>
      <c r="AA26" s="94">
        <f t="shared" si="56"/>
        <v>7.2722266767359987</v>
      </c>
      <c r="AB26" s="94">
        <f t="shared" si="57"/>
        <v>476.93638943999997</v>
      </c>
      <c r="AC26" s="94">
        <f t="shared" si="58"/>
        <v>939.32927907839974</v>
      </c>
      <c r="AD26">
        <f t="shared" si="59"/>
        <v>6673025.4995174399</v>
      </c>
      <c r="AE26" s="27">
        <f t="shared" si="60"/>
        <v>2608081831.9237247</v>
      </c>
      <c r="AF26" s="27">
        <f t="shared" si="61"/>
        <v>5209489880.8243198</v>
      </c>
      <c r="AG26" s="94">
        <f t="shared" si="62"/>
        <v>3022.8222219632639</v>
      </c>
      <c r="AH26" s="94">
        <f t="shared" si="63"/>
        <v>198246.55921055999</v>
      </c>
      <c r="AI26" s="94">
        <f t="shared" si="64"/>
        <v>390447.87033692154</v>
      </c>
      <c r="AJ26" s="27">
        <f t="shared" si="65"/>
        <v>2773754265.9660826</v>
      </c>
      <c r="AK26" s="95">
        <f t="shared" si="66"/>
        <v>1084092681469.6283</v>
      </c>
      <c r="AL26" s="27">
        <f t="shared" si="67"/>
        <v>2165411293795.9758</v>
      </c>
      <c r="AM26" s="27"/>
      <c r="AN26" s="27"/>
      <c r="AO26" s="27"/>
      <c r="AP26" s="27"/>
      <c r="AQ26" s="27"/>
      <c r="AR26" s="27"/>
      <c r="AT26" s="95"/>
      <c r="AU26" s="95"/>
      <c r="AV26" s="95"/>
      <c r="AW26" s="95"/>
      <c r="AX26" s="95"/>
      <c r="AY26" s="18"/>
      <c r="AZ26">
        <v>471</v>
      </c>
      <c r="BA26" s="34">
        <f t="shared" si="68"/>
        <v>5.3767123287671234E-2</v>
      </c>
      <c r="BB26" s="34">
        <f t="shared" si="69"/>
        <v>0.94623287671232881</v>
      </c>
      <c r="BC26" s="94">
        <f t="shared" si="70"/>
        <v>162.5284550850111</v>
      </c>
      <c r="BD26" s="94">
        <f t="shared" si="71"/>
        <v>81.264227542505552</v>
      </c>
      <c r="BE26" s="94">
        <f t="shared" si="72"/>
        <v>2941.5579944207584</v>
      </c>
      <c r="BF26">
        <f t="shared" si="73"/>
        <v>149136787.5879024</v>
      </c>
      <c r="BG26">
        <f t="shared" si="74"/>
        <v>74568393.793951198</v>
      </c>
      <c r="BH26">
        <f t="shared" si="75"/>
        <v>2699185872.1721315</v>
      </c>
      <c r="BI26" s="27"/>
      <c r="BJ26" s="27"/>
      <c r="BM26" s="94">
        <f t="shared" ref="BM26:BM51" si="87" xml:space="preserve"> AH26 * BA26</f>
        <v>10659.147190430795</v>
      </c>
      <c r="BN26" s="94">
        <f t="shared" si="76"/>
        <v>5329.5735952153973</v>
      </c>
      <c r="BO26" s="94">
        <f t="shared" si="77"/>
        <v>192916.9856153446</v>
      </c>
      <c r="BP26" s="95">
        <f t="shared" ref="BP26:BP51" si="88" xml:space="preserve"> AK26 * BA26</f>
        <v>58288544859.839607</v>
      </c>
      <c r="BQ26" s="95">
        <f t="shared" si="78"/>
        <v>29144272429.919804</v>
      </c>
      <c r="BR26" s="95">
        <f t="shared" si="79"/>
        <v>1054948409039.7085</v>
      </c>
      <c r="BW26" s="94">
        <f t="shared" ref="BW26:BW50" si="89" xml:space="preserve"> AI26 * BA26</f>
        <v>20993.258781813933</v>
      </c>
      <c r="BX26" s="94">
        <f t="shared" si="80"/>
        <v>10496.629390906966</v>
      </c>
      <c r="BY26" s="94">
        <f t="shared" si="81"/>
        <v>379951.24094601459</v>
      </c>
      <c r="BZ26" s="95">
        <f t="shared" si="82"/>
        <v>116427936002.04391</v>
      </c>
      <c r="CA26" s="95">
        <f t="shared" si="83"/>
        <v>58213968001.021957</v>
      </c>
      <c r="CB26" s="95">
        <f t="shared" si="84"/>
        <v>2107197325794.9541</v>
      </c>
      <c r="CG26" s="18"/>
      <c r="CN26" s="95"/>
      <c r="CR26" s="95"/>
      <c r="CT26" s="95"/>
      <c r="CV26" s="95"/>
      <c r="CX26" s="95"/>
      <c r="CZ26" s="95"/>
      <c r="DB26" s="95"/>
      <c r="DC26" s="117"/>
      <c r="DH26" t="s">
        <v>93</v>
      </c>
      <c r="DR26" s="95"/>
      <c r="DV26" s="95"/>
      <c r="DW26" s="95"/>
      <c r="DX26" s="95"/>
      <c r="DY26" s="121"/>
      <c r="ED26" s="27"/>
      <c r="EE26" s="27"/>
      <c r="EF26" s="27"/>
      <c r="EG26" s="27"/>
      <c r="FL26" s="121"/>
      <c r="GA26" s="177"/>
      <c r="GB26" s="177"/>
      <c r="GC26" s="177"/>
      <c r="GD26" s="177"/>
      <c r="GE26" s="177"/>
      <c r="GF26" s="177"/>
      <c r="GG26" s="177"/>
      <c r="GH26" s="27"/>
      <c r="GI26" s="27"/>
      <c r="GJ26" s="27"/>
      <c r="GK26" s="27"/>
      <c r="GL26" s="27"/>
      <c r="GM26" s="27"/>
      <c r="GN26" s="27"/>
      <c r="GO26" s="27"/>
      <c r="GP26" s="27"/>
      <c r="GQ26" s="27"/>
      <c r="GR26" s="27"/>
      <c r="GS26" s="177"/>
      <c r="GT26" s="177"/>
      <c r="GU26" s="177"/>
      <c r="GV26" s="177"/>
      <c r="GW26" s="177"/>
      <c r="GX26" s="177"/>
      <c r="HL26" s="95"/>
      <c r="HM26" s="95"/>
      <c r="HN26" s="95"/>
      <c r="HO26" s="95"/>
      <c r="HP26" s="95"/>
      <c r="HQ26" s="95"/>
    </row>
    <row r="27" spans="1:262" x14ac:dyDescent="0.2">
      <c r="A27" s="3" t="s">
        <v>49</v>
      </c>
      <c r="B27">
        <v>1522</v>
      </c>
      <c r="C27">
        <v>1386</v>
      </c>
      <c r="D27">
        <v>1.43</v>
      </c>
      <c r="E27">
        <v>0.42299999999999999</v>
      </c>
      <c r="F27" s="2">
        <f t="shared" si="45"/>
        <v>643.80599999999993</v>
      </c>
      <c r="G27" t="s">
        <v>11</v>
      </c>
      <c r="H27" s="20"/>
      <c r="I27" s="21"/>
      <c r="J27">
        <v>644</v>
      </c>
      <c r="K27" s="94">
        <f t="shared" ref="K27:K51" si="90" xml:space="preserve"> 0.0096 * 6 * 110.16</f>
        <v>6.3452159999999997</v>
      </c>
      <c r="L27" s="94">
        <v>416.14</v>
      </c>
      <c r="M27" s="94">
        <f t="shared" si="46"/>
        <v>819.59039999999993</v>
      </c>
      <c r="N27" s="95">
        <f t="shared" si="47"/>
        <v>5822396.6399999997</v>
      </c>
      <c r="O27" s="96">
        <f t="shared" si="48"/>
        <v>2275622488.7999997</v>
      </c>
      <c r="P27" s="95">
        <f t="shared" si="49"/>
        <v>4545421920</v>
      </c>
      <c r="Q27">
        <v>1.43</v>
      </c>
      <c r="R27" s="27">
        <f t="shared" si="50"/>
        <v>5843.4363187199997</v>
      </c>
      <c r="S27" s="27">
        <f t="shared" si="51"/>
        <v>383231.64879999997</v>
      </c>
      <c r="T27" s="27">
        <f t="shared" si="52"/>
        <v>754777.19116799987</v>
      </c>
      <c r="U27">
        <f t="shared" si="53"/>
        <v>5361961513.7087994</v>
      </c>
      <c r="V27" s="27">
        <f t="shared" si="54"/>
        <v>2095666262385.6956</v>
      </c>
      <c r="W27" s="27">
        <f t="shared" si="55"/>
        <v>4185969954566.3999</v>
      </c>
      <c r="X27" s="18"/>
      <c r="Y27">
        <v>2.3999999999999998E-3</v>
      </c>
      <c r="Z27">
        <v>0.99760000000000004</v>
      </c>
      <c r="AA27" s="94">
        <f t="shared" si="56"/>
        <v>14.024247164927997</v>
      </c>
      <c r="AB27" s="94">
        <f t="shared" si="57"/>
        <v>919.75595711999983</v>
      </c>
      <c r="AC27" s="94">
        <f t="shared" si="58"/>
        <v>1811.4652588031995</v>
      </c>
      <c r="AD27">
        <f t="shared" si="59"/>
        <v>12868707.632901117</v>
      </c>
      <c r="AE27" s="27">
        <f t="shared" si="60"/>
        <v>5029599029.7256689</v>
      </c>
      <c r="AF27" s="27">
        <f t="shared" si="61"/>
        <v>10046327890.959358</v>
      </c>
      <c r="AG27" s="94">
        <f t="shared" si="62"/>
        <v>5829.4120715550716</v>
      </c>
      <c r="AH27" s="94">
        <f t="shared" si="63"/>
        <v>382311.89284287998</v>
      </c>
      <c r="AI27" s="94">
        <f t="shared" si="64"/>
        <v>752965.72590919666</v>
      </c>
      <c r="AJ27" s="27">
        <f t="shared" si="65"/>
        <v>5349092806.0758982</v>
      </c>
      <c r="AK27" s="95">
        <f t="shared" si="66"/>
        <v>2090636663355.97</v>
      </c>
      <c r="AL27" s="27">
        <f t="shared" si="67"/>
        <v>4175923626675.4409</v>
      </c>
      <c r="AM27" s="27"/>
      <c r="AN27" s="27"/>
      <c r="AO27" s="27"/>
      <c r="AP27" s="27"/>
      <c r="AQ27" s="27"/>
      <c r="AR27" s="27"/>
      <c r="AT27" s="95"/>
      <c r="AU27" s="95"/>
      <c r="AV27" s="95"/>
      <c r="AW27" s="95"/>
      <c r="AX27" s="95"/>
      <c r="AY27" s="18"/>
      <c r="AZ27">
        <v>0</v>
      </c>
      <c r="BA27" s="34">
        <f t="shared" si="68"/>
        <v>0</v>
      </c>
      <c r="BB27" s="34">
        <f t="shared" si="69"/>
        <v>1</v>
      </c>
      <c r="BC27" s="94">
        <f t="shared" si="70"/>
        <v>0</v>
      </c>
      <c r="BD27" s="94">
        <f t="shared" si="71"/>
        <v>0</v>
      </c>
      <c r="BE27" s="94">
        <f t="shared" si="72"/>
        <v>5829.4120715550716</v>
      </c>
      <c r="BF27">
        <f t="shared" si="73"/>
        <v>0</v>
      </c>
      <c r="BG27">
        <f t="shared" si="74"/>
        <v>0</v>
      </c>
      <c r="BH27">
        <f t="shared" si="75"/>
        <v>5349092806.0758982</v>
      </c>
      <c r="BI27" s="27"/>
      <c r="BJ27" s="27"/>
      <c r="BM27" s="94">
        <f t="shared" si="87"/>
        <v>0</v>
      </c>
      <c r="BN27" s="94">
        <f t="shared" si="76"/>
        <v>0</v>
      </c>
      <c r="BO27" s="94">
        <f t="shared" si="77"/>
        <v>382311.89284287998</v>
      </c>
      <c r="BP27" s="95">
        <f t="shared" si="88"/>
        <v>0</v>
      </c>
      <c r="BQ27" s="95">
        <f t="shared" si="78"/>
        <v>0</v>
      </c>
      <c r="BR27" s="95">
        <f t="shared" si="79"/>
        <v>2090636663355.97</v>
      </c>
      <c r="BW27" s="94">
        <f t="shared" si="89"/>
        <v>0</v>
      </c>
      <c r="BX27" s="94">
        <f t="shared" si="80"/>
        <v>0</v>
      </c>
      <c r="BY27" s="94">
        <f t="shared" si="81"/>
        <v>752965.72590919666</v>
      </c>
      <c r="BZ27" s="95">
        <f t="shared" si="82"/>
        <v>0</v>
      </c>
      <c r="CA27" s="95">
        <f t="shared" si="83"/>
        <v>0</v>
      </c>
      <c r="CB27" s="95">
        <f t="shared" si="84"/>
        <v>4175923626675.4409</v>
      </c>
      <c r="CG27" s="18"/>
      <c r="CN27" s="95"/>
      <c r="CR27" s="95"/>
      <c r="CT27" s="95"/>
      <c r="CV27" s="95"/>
      <c r="CX27" s="95"/>
      <c r="CZ27" s="95"/>
      <c r="DB27" s="95"/>
      <c r="DC27" s="117"/>
      <c r="DR27" s="95"/>
      <c r="DV27" s="95"/>
      <c r="DW27" s="95"/>
      <c r="DX27" s="95"/>
      <c r="DY27" s="121"/>
      <c r="ED27" s="27"/>
      <c r="EE27" s="27"/>
      <c r="EF27" s="27"/>
      <c r="EG27" s="27"/>
      <c r="FL27" s="121"/>
      <c r="GA27" s="177"/>
      <c r="GB27" s="177"/>
      <c r="GC27" s="177"/>
      <c r="GD27" s="177"/>
      <c r="GE27" s="177"/>
      <c r="GF27" s="177"/>
      <c r="GG27" s="177"/>
      <c r="GH27" s="27"/>
      <c r="GI27" s="27"/>
      <c r="GJ27" s="27"/>
      <c r="GK27" s="27"/>
      <c r="GL27" s="27"/>
      <c r="GM27" s="27"/>
      <c r="GN27" s="27"/>
      <c r="GO27" s="27"/>
      <c r="GP27" s="27"/>
      <c r="GQ27" s="27"/>
      <c r="GR27" s="27"/>
      <c r="GS27" s="177"/>
      <c r="GT27" s="177"/>
      <c r="GU27" s="177"/>
      <c r="GV27" s="177"/>
      <c r="GW27" s="177"/>
      <c r="GX27" s="177"/>
      <c r="HL27" s="95"/>
      <c r="HM27" s="95"/>
      <c r="HN27" s="95"/>
      <c r="HO27" s="95"/>
      <c r="HP27" s="95"/>
      <c r="HQ27" s="95"/>
    </row>
    <row r="28" spans="1:262" x14ac:dyDescent="0.2">
      <c r="A28" s="3" t="s">
        <v>50</v>
      </c>
      <c r="B28">
        <v>1607</v>
      </c>
      <c r="C28">
        <v>1723</v>
      </c>
      <c r="D28">
        <v>0.67</v>
      </c>
      <c r="E28">
        <v>0.66</v>
      </c>
      <c r="F28" s="2">
        <f t="shared" si="45"/>
        <v>1060.6200000000001</v>
      </c>
      <c r="G28" t="s">
        <v>11</v>
      </c>
      <c r="H28" s="20"/>
      <c r="I28" s="21"/>
      <c r="J28">
        <v>1061</v>
      </c>
      <c r="K28" s="94">
        <f t="shared" si="90"/>
        <v>6.3452159999999997</v>
      </c>
      <c r="L28" s="94">
        <v>416.14</v>
      </c>
      <c r="M28" s="94">
        <f t="shared" si="46"/>
        <v>819.59039999999993</v>
      </c>
      <c r="N28" s="95">
        <f t="shared" si="47"/>
        <v>5822396.6399999997</v>
      </c>
      <c r="O28" s="96">
        <f t="shared" si="48"/>
        <v>2275622488.7999997</v>
      </c>
      <c r="P28" s="95">
        <f t="shared" si="49"/>
        <v>4545421920</v>
      </c>
      <c r="Q28">
        <v>0.67</v>
      </c>
      <c r="R28" s="27">
        <f t="shared" si="50"/>
        <v>4510.6236979200003</v>
      </c>
      <c r="S28" s="27">
        <f t="shared" si="51"/>
        <v>295821.44180000003</v>
      </c>
      <c r="T28" s="27">
        <f t="shared" si="52"/>
        <v>582622.227648</v>
      </c>
      <c r="U28">
        <f t="shared" si="53"/>
        <v>4138967099.4768004</v>
      </c>
      <c r="V28" s="27">
        <f t="shared" si="54"/>
        <v>1617671758613.2559</v>
      </c>
      <c r="W28" s="27">
        <f t="shared" si="55"/>
        <v>3231204080270.4004</v>
      </c>
      <c r="X28" s="18"/>
      <c r="Y28">
        <v>2.3999999999999998E-3</v>
      </c>
      <c r="Z28">
        <v>0.99760000000000004</v>
      </c>
      <c r="AA28" s="94">
        <f t="shared" si="56"/>
        <v>10.825496875008</v>
      </c>
      <c r="AB28" s="94">
        <f t="shared" si="57"/>
        <v>709.97146032000001</v>
      </c>
      <c r="AC28" s="94">
        <f t="shared" si="58"/>
        <v>1398.2933463551999</v>
      </c>
      <c r="AD28">
        <f t="shared" si="59"/>
        <v>9933521.0387443211</v>
      </c>
      <c r="AE28" s="27">
        <f t="shared" si="60"/>
        <v>3882412220.6718135</v>
      </c>
      <c r="AF28" s="27">
        <f t="shared" si="61"/>
        <v>7754889792.6489601</v>
      </c>
      <c r="AG28" s="94">
        <f t="shared" si="62"/>
        <v>4499.7982010449923</v>
      </c>
      <c r="AH28" s="94">
        <f t="shared" si="63"/>
        <v>295111.47033968003</v>
      </c>
      <c r="AI28" s="94">
        <f t="shared" si="64"/>
        <v>581223.9343016448</v>
      </c>
      <c r="AJ28" s="27">
        <f t="shared" si="65"/>
        <v>4129033578.4380565</v>
      </c>
      <c r="AK28" s="95">
        <f t="shared" si="66"/>
        <v>1613789346392.5842</v>
      </c>
      <c r="AL28" s="27">
        <f t="shared" si="67"/>
        <v>3223449190477.7515</v>
      </c>
      <c r="AM28" s="27"/>
      <c r="AN28" s="27"/>
      <c r="AO28" s="27"/>
      <c r="AP28" s="27"/>
      <c r="AQ28" s="27"/>
      <c r="AR28" s="27"/>
      <c r="AT28" s="95"/>
      <c r="AU28" s="95"/>
      <c r="AV28" s="95"/>
      <c r="AW28" s="95"/>
      <c r="AX28" s="95"/>
      <c r="AY28" s="18"/>
      <c r="AZ28">
        <v>121</v>
      </c>
      <c r="BA28" s="34">
        <f t="shared" si="68"/>
        <v>1.3812785388127854E-2</v>
      </c>
      <c r="BB28" s="34">
        <f t="shared" si="69"/>
        <v>0.9861872146118722</v>
      </c>
      <c r="BC28" s="94">
        <f t="shared" si="70"/>
        <v>62.154746840918271</v>
      </c>
      <c r="BD28" s="94">
        <f t="shared" si="71"/>
        <v>31.077373420459136</v>
      </c>
      <c r="BE28" s="94">
        <f t="shared" si="72"/>
        <v>4468.7208276245337</v>
      </c>
      <c r="BF28">
        <f t="shared" si="73"/>
        <v>57033454.679338448</v>
      </c>
      <c r="BG28">
        <f t="shared" si="74"/>
        <v>28516727.339669224</v>
      </c>
      <c r="BH28">
        <f t="shared" si="75"/>
        <v>4100516851.0983872</v>
      </c>
      <c r="BI28" s="27"/>
      <c r="BJ28" s="27"/>
      <c r="BM28" s="94">
        <f t="shared" si="87"/>
        <v>4076.3114053768591</v>
      </c>
      <c r="BN28" s="94">
        <f t="shared" si="76"/>
        <v>2038.1557026884295</v>
      </c>
      <c r="BO28" s="94">
        <f t="shared" si="77"/>
        <v>293073.31463699165</v>
      </c>
      <c r="BP28" s="95">
        <f t="shared" si="88"/>
        <v>22290925903.367886</v>
      </c>
      <c r="BQ28" s="95">
        <f t="shared" si="78"/>
        <v>11145462951.683943</v>
      </c>
      <c r="BR28" s="95">
        <f t="shared" si="79"/>
        <v>1602643883440.9001</v>
      </c>
      <c r="BW28" s="94">
        <f t="shared" si="89"/>
        <v>8028.321466951943</v>
      </c>
      <c r="BX28" s="94">
        <f t="shared" si="80"/>
        <v>4014.1607334759715</v>
      </c>
      <c r="BY28" s="94">
        <f t="shared" si="81"/>
        <v>577209.77356816886</v>
      </c>
      <c r="BZ28" s="95">
        <f t="shared" si="82"/>
        <v>44524811877.603645</v>
      </c>
      <c r="CA28" s="95">
        <f t="shared" si="83"/>
        <v>22262405938.801823</v>
      </c>
      <c r="CB28" s="95">
        <f t="shared" si="84"/>
        <v>3201186784538.9497</v>
      </c>
      <c r="CG28" s="18"/>
      <c r="CN28" s="95"/>
      <c r="CR28" s="95"/>
      <c r="CT28" s="95"/>
      <c r="CV28" s="95"/>
      <c r="CX28" s="95"/>
      <c r="CZ28" s="95"/>
      <c r="DB28" s="95"/>
      <c r="DC28" s="117"/>
      <c r="DR28" s="95"/>
      <c r="DV28" s="95"/>
      <c r="DW28" s="95"/>
      <c r="DX28" s="95"/>
      <c r="DY28" s="121"/>
      <c r="ED28" s="27"/>
      <c r="EE28" s="27"/>
      <c r="EF28" s="27"/>
      <c r="EG28" s="27"/>
      <c r="FL28" s="121"/>
      <c r="GA28" s="177"/>
      <c r="GB28" s="177"/>
      <c r="GC28" s="177"/>
      <c r="GD28" s="177"/>
      <c r="GE28" s="177"/>
      <c r="GF28" s="177"/>
      <c r="GG28" s="177"/>
      <c r="GH28" s="27"/>
      <c r="GI28" s="27"/>
      <c r="GJ28" s="27"/>
      <c r="GK28" s="27"/>
      <c r="GL28" s="27"/>
      <c r="GM28" s="27"/>
      <c r="GN28" s="27"/>
      <c r="GO28" s="27"/>
      <c r="GP28" s="27"/>
      <c r="GQ28" s="27"/>
      <c r="GR28" s="27"/>
      <c r="GS28" s="177"/>
      <c r="GT28" s="177"/>
      <c r="GU28" s="177"/>
      <c r="GV28" s="177"/>
      <c r="GW28" s="177"/>
      <c r="GX28" s="177"/>
      <c r="HL28" s="95"/>
      <c r="HM28" s="95"/>
      <c r="HN28" s="95"/>
      <c r="HO28" s="95"/>
      <c r="HP28" s="95"/>
      <c r="HQ28" s="95"/>
    </row>
    <row r="29" spans="1:262" x14ac:dyDescent="0.2">
      <c r="A29" s="3" t="s">
        <v>51</v>
      </c>
      <c r="B29">
        <v>1212</v>
      </c>
      <c r="C29">
        <v>741</v>
      </c>
      <c r="D29">
        <v>6.44</v>
      </c>
      <c r="E29">
        <v>0.95</v>
      </c>
      <c r="F29" s="2">
        <f t="shared" si="45"/>
        <v>1151.3999999999999</v>
      </c>
      <c r="G29" t="s">
        <v>11</v>
      </c>
      <c r="H29" s="20"/>
      <c r="I29" s="21"/>
      <c r="J29">
        <v>1151</v>
      </c>
      <c r="K29" s="94">
        <f t="shared" si="90"/>
        <v>6.3452159999999997</v>
      </c>
      <c r="L29" s="94">
        <v>416.14</v>
      </c>
      <c r="M29" s="94">
        <f t="shared" si="46"/>
        <v>819.59039999999993</v>
      </c>
      <c r="N29" s="95">
        <f t="shared" si="47"/>
        <v>5822396.6399999997</v>
      </c>
      <c r="O29" s="96">
        <f t="shared" si="48"/>
        <v>2275622488.7999997</v>
      </c>
      <c r="P29" s="95">
        <f t="shared" si="49"/>
        <v>4545421920</v>
      </c>
      <c r="Q29">
        <v>6.44</v>
      </c>
      <c r="R29" s="27">
        <f t="shared" si="50"/>
        <v>47033.532887040004</v>
      </c>
      <c r="S29" s="27">
        <f t="shared" si="51"/>
        <v>3084612.7815999999</v>
      </c>
      <c r="T29" s="27">
        <f t="shared" si="52"/>
        <v>6075164.6645759996</v>
      </c>
      <c r="U29">
        <f t="shared" si="53"/>
        <v>43158165750.201599</v>
      </c>
      <c r="V29" s="27">
        <f t="shared" si="54"/>
        <v>16867915160880.672</v>
      </c>
      <c r="W29" s="27">
        <f t="shared" si="55"/>
        <v>33692667256684.801</v>
      </c>
      <c r="X29" s="18"/>
      <c r="Y29">
        <v>2.3999999999999998E-3</v>
      </c>
      <c r="Z29">
        <v>0.99760000000000004</v>
      </c>
      <c r="AA29" s="94">
        <f t="shared" si="56"/>
        <v>112.880478928896</v>
      </c>
      <c r="AB29" s="94">
        <f t="shared" si="57"/>
        <v>7403.0706758399992</v>
      </c>
      <c r="AC29" s="94">
        <f t="shared" si="58"/>
        <v>14580.395194982399</v>
      </c>
      <c r="AD29">
        <f t="shared" si="59"/>
        <v>103579597.80048382</v>
      </c>
      <c r="AE29" s="27">
        <f t="shared" si="60"/>
        <v>40482996386.113609</v>
      </c>
      <c r="AF29" s="27">
        <f t="shared" si="61"/>
        <v>80862401416.043518</v>
      </c>
      <c r="AG29" s="94">
        <f t="shared" si="62"/>
        <v>46920.652408111113</v>
      </c>
      <c r="AH29" s="94">
        <f t="shared" si="63"/>
        <v>3077209.7109241602</v>
      </c>
      <c r="AI29" s="94">
        <f t="shared" si="64"/>
        <v>6060584.2693810174</v>
      </c>
      <c r="AJ29" s="27">
        <f t="shared" si="65"/>
        <v>43054586152.401115</v>
      </c>
      <c r="AK29" s="95">
        <f t="shared" si="66"/>
        <v>16827432164494.559</v>
      </c>
      <c r="AL29" s="27">
        <f t="shared" si="67"/>
        <v>33611804855268.758</v>
      </c>
      <c r="AM29" s="27"/>
      <c r="AN29" s="27"/>
      <c r="AO29" s="27"/>
      <c r="AP29" s="27"/>
      <c r="AQ29" s="27"/>
      <c r="AR29" s="27"/>
      <c r="AT29" s="95"/>
      <c r="AU29" s="95"/>
      <c r="AV29" s="95"/>
      <c r="AW29" s="95"/>
      <c r="AX29" s="95"/>
      <c r="AY29" s="18"/>
      <c r="AZ29">
        <v>2</v>
      </c>
      <c r="BA29" s="34">
        <f t="shared" si="68"/>
        <v>2.2831050228310502E-4</v>
      </c>
      <c r="BB29" s="34">
        <f t="shared" si="69"/>
        <v>0.99977168949771689</v>
      </c>
      <c r="BC29" s="94">
        <f t="shared" si="70"/>
        <v>10.712477718746829</v>
      </c>
      <c r="BD29" s="94">
        <f t="shared" si="71"/>
        <v>5.3562388593734145</v>
      </c>
      <c r="BE29" s="94">
        <f t="shared" si="72"/>
        <v>46915.296169251735</v>
      </c>
      <c r="BF29">
        <f t="shared" si="73"/>
        <v>9829814.1900459155</v>
      </c>
      <c r="BG29">
        <f t="shared" si="74"/>
        <v>4914907.0950229578</v>
      </c>
      <c r="BH29">
        <f t="shared" si="75"/>
        <v>43049671245.306091</v>
      </c>
      <c r="BI29" s="27"/>
      <c r="BJ29" s="27"/>
      <c r="BM29" s="94">
        <f t="shared" si="87"/>
        <v>702.55929473154345</v>
      </c>
      <c r="BN29" s="94">
        <f t="shared" si="76"/>
        <v>351.27964736577172</v>
      </c>
      <c r="BO29" s="94">
        <f t="shared" si="77"/>
        <v>3076858.4312767945</v>
      </c>
      <c r="BP29" s="95">
        <f t="shared" si="88"/>
        <v>3841879489.6106296</v>
      </c>
      <c r="BQ29" s="95">
        <f t="shared" si="78"/>
        <v>1920939744.8053148</v>
      </c>
      <c r="BR29" s="95">
        <f t="shared" si="79"/>
        <v>16825511224749.752</v>
      </c>
      <c r="BW29" s="94">
        <f t="shared" si="89"/>
        <v>1383.6950386714652</v>
      </c>
      <c r="BX29" s="94">
        <f t="shared" si="80"/>
        <v>691.84751933573261</v>
      </c>
      <c r="BY29" s="94">
        <f t="shared" si="81"/>
        <v>6059892.4218616812</v>
      </c>
      <c r="BZ29" s="95">
        <f t="shared" si="82"/>
        <v>7673928049.148118</v>
      </c>
      <c r="CA29" s="95">
        <f t="shared" si="83"/>
        <v>3836964024.574059</v>
      </c>
      <c r="CB29" s="95">
        <f t="shared" si="84"/>
        <v>33607967891244.184</v>
      </c>
      <c r="CG29" s="18"/>
      <c r="CN29" s="95"/>
      <c r="CR29" s="95"/>
      <c r="CT29" s="95"/>
      <c r="CV29" s="95"/>
      <c r="CX29" s="95"/>
      <c r="CZ29" s="95"/>
      <c r="DB29" s="95"/>
      <c r="DC29" s="117"/>
      <c r="DR29" s="95"/>
      <c r="DV29" s="95"/>
      <c r="DW29" s="95"/>
      <c r="DX29" s="95"/>
      <c r="DY29" s="121"/>
      <c r="ED29" s="27"/>
      <c r="EE29" s="27"/>
      <c r="EF29" s="27"/>
      <c r="EG29" s="27"/>
      <c r="FL29" s="121"/>
      <c r="GA29" s="177"/>
      <c r="GB29" s="177"/>
      <c r="GC29" s="177"/>
      <c r="GD29" s="177"/>
      <c r="GE29" s="177"/>
      <c r="GF29" s="177"/>
      <c r="GG29" s="177"/>
      <c r="GH29" s="27"/>
      <c r="GI29" s="27"/>
      <c r="GJ29" s="27"/>
      <c r="GK29" s="27"/>
      <c r="GL29" s="27"/>
      <c r="GM29" s="27"/>
      <c r="GN29" s="27"/>
      <c r="GO29" s="27"/>
      <c r="GP29" s="27"/>
      <c r="GQ29" s="27"/>
      <c r="GR29" s="27"/>
      <c r="GS29" s="177"/>
      <c r="GT29" s="177"/>
      <c r="GU29" s="177"/>
      <c r="GV29" s="177"/>
      <c r="GW29" s="177"/>
      <c r="GX29" s="177"/>
      <c r="HL29" s="95"/>
      <c r="HM29" s="95"/>
      <c r="HN29" s="95"/>
      <c r="HO29" s="95"/>
      <c r="HP29" s="95"/>
      <c r="HQ29" s="95"/>
    </row>
    <row r="30" spans="1:262" x14ac:dyDescent="0.2">
      <c r="A30" s="3" t="s">
        <v>52</v>
      </c>
      <c r="B30">
        <v>1569</v>
      </c>
      <c r="C30">
        <v>87</v>
      </c>
      <c r="D30">
        <v>1.47</v>
      </c>
      <c r="E30">
        <v>0.21</v>
      </c>
      <c r="F30" s="2">
        <f t="shared" si="45"/>
        <v>329.49</v>
      </c>
      <c r="G30" t="s">
        <v>11</v>
      </c>
      <c r="H30" s="20"/>
      <c r="I30" s="21"/>
      <c r="J30">
        <v>329</v>
      </c>
      <c r="K30" s="94">
        <f t="shared" si="90"/>
        <v>6.3452159999999997</v>
      </c>
      <c r="L30" s="94">
        <v>416.14</v>
      </c>
      <c r="M30" s="94">
        <f t="shared" si="46"/>
        <v>819.59039999999993</v>
      </c>
      <c r="N30" s="95">
        <f t="shared" si="47"/>
        <v>5822396.6399999997</v>
      </c>
      <c r="O30" s="96">
        <f t="shared" si="48"/>
        <v>2275622488.7999997</v>
      </c>
      <c r="P30" s="95">
        <f t="shared" si="49"/>
        <v>4545421920</v>
      </c>
      <c r="Q30">
        <v>1.47</v>
      </c>
      <c r="R30" s="27">
        <f t="shared" si="50"/>
        <v>3068.7368140799999</v>
      </c>
      <c r="S30" s="27">
        <f t="shared" si="51"/>
        <v>201257.78819999998</v>
      </c>
      <c r="T30" s="27">
        <f t="shared" si="52"/>
        <v>396378.50515199994</v>
      </c>
      <c r="U30">
        <f t="shared" si="53"/>
        <v>2815885687.0032001</v>
      </c>
      <c r="V30" s="27">
        <f t="shared" si="54"/>
        <v>1100559304258.344</v>
      </c>
      <c r="W30" s="27">
        <f t="shared" si="55"/>
        <v>2198302403169.5999</v>
      </c>
      <c r="X30" s="18"/>
      <c r="Y30">
        <v>2.3999999999999998E-3</v>
      </c>
      <c r="Z30">
        <v>0.99760000000000004</v>
      </c>
      <c r="AA30" s="94">
        <f t="shared" si="56"/>
        <v>7.3649683537919994</v>
      </c>
      <c r="AB30" s="94">
        <f t="shared" si="57"/>
        <v>483.0186916799999</v>
      </c>
      <c r="AC30" s="94">
        <f t="shared" si="58"/>
        <v>951.30841236479978</v>
      </c>
      <c r="AD30">
        <f t="shared" si="59"/>
        <v>6758125.6488076793</v>
      </c>
      <c r="AE30" s="27">
        <f t="shared" si="60"/>
        <v>2641342330.2200255</v>
      </c>
      <c r="AF30" s="27">
        <f t="shared" si="61"/>
        <v>5275925767.6070395</v>
      </c>
      <c r="AG30" s="94">
        <f t="shared" si="62"/>
        <v>3061.371845726208</v>
      </c>
      <c r="AH30" s="94">
        <f t="shared" si="63"/>
        <v>200774.76950831999</v>
      </c>
      <c r="AI30" s="94">
        <f t="shared" si="64"/>
        <v>395427.19673963514</v>
      </c>
      <c r="AJ30" s="27">
        <f t="shared" si="65"/>
        <v>2809127561.3543925</v>
      </c>
      <c r="AK30" s="95">
        <f t="shared" si="66"/>
        <v>1097917961928.124</v>
      </c>
      <c r="AL30" s="27">
        <f t="shared" si="67"/>
        <v>2193026477401.9929</v>
      </c>
      <c r="AM30" s="27"/>
      <c r="AN30" s="27"/>
      <c r="AO30" s="27"/>
      <c r="AP30" s="27"/>
      <c r="AQ30" s="27"/>
      <c r="AR30" s="27"/>
      <c r="AT30" s="95"/>
      <c r="AU30" s="95"/>
      <c r="AV30" s="95"/>
      <c r="AW30" s="95"/>
      <c r="AX30" s="95"/>
      <c r="AY30" s="18"/>
      <c r="AZ30">
        <v>0</v>
      </c>
      <c r="BA30" s="34">
        <f t="shared" si="68"/>
        <v>0</v>
      </c>
      <c r="BB30" s="34">
        <f t="shared" si="69"/>
        <v>1</v>
      </c>
      <c r="BC30" s="94">
        <f t="shared" si="70"/>
        <v>0</v>
      </c>
      <c r="BD30" s="94">
        <f t="shared" si="71"/>
        <v>0</v>
      </c>
      <c r="BE30" s="94">
        <f t="shared" si="72"/>
        <v>3061.371845726208</v>
      </c>
      <c r="BF30">
        <f t="shared" si="73"/>
        <v>0</v>
      </c>
      <c r="BG30">
        <f t="shared" si="74"/>
        <v>0</v>
      </c>
      <c r="BH30">
        <f t="shared" si="75"/>
        <v>2809127561.3543925</v>
      </c>
      <c r="BI30" s="27"/>
      <c r="BJ30" s="27"/>
      <c r="BM30" s="94">
        <f t="shared" si="87"/>
        <v>0</v>
      </c>
      <c r="BN30" s="94">
        <f t="shared" si="76"/>
        <v>0</v>
      </c>
      <c r="BO30" s="94">
        <f t="shared" si="77"/>
        <v>200774.76950831999</v>
      </c>
      <c r="BP30" s="95">
        <f t="shared" si="88"/>
        <v>0</v>
      </c>
      <c r="BQ30" s="95">
        <f t="shared" si="78"/>
        <v>0</v>
      </c>
      <c r="BR30" s="95">
        <f t="shared" si="79"/>
        <v>1097917961928.124</v>
      </c>
      <c r="BW30" s="94">
        <f t="shared" si="89"/>
        <v>0</v>
      </c>
      <c r="BX30" s="94">
        <f t="shared" si="80"/>
        <v>0</v>
      </c>
      <c r="BY30" s="94">
        <f t="shared" si="81"/>
        <v>395427.19673963514</v>
      </c>
      <c r="BZ30" s="95">
        <f t="shared" si="82"/>
        <v>0</v>
      </c>
      <c r="CA30" s="95">
        <f t="shared" si="83"/>
        <v>0</v>
      </c>
      <c r="CB30" s="95">
        <f t="shared" si="84"/>
        <v>2193026477401.9929</v>
      </c>
      <c r="CG30" s="18"/>
      <c r="CN30" s="95"/>
      <c r="CR30" s="95"/>
      <c r="CT30" s="95"/>
      <c r="CV30" s="95"/>
      <c r="CX30" s="95"/>
      <c r="CZ30" s="95"/>
      <c r="DB30" s="95"/>
      <c r="DC30" s="117"/>
      <c r="DR30" s="95"/>
      <c r="DV30" s="95"/>
      <c r="DW30" s="95"/>
      <c r="DX30" s="95"/>
      <c r="ED30" s="27"/>
      <c r="EE30" s="27"/>
      <c r="EF30" s="27"/>
      <c r="EG30" s="27"/>
      <c r="FL30" s="121"/>
      <c r="GA30" s="177"/>
      <c r="GB30" s="177"/>
      <c r="GC30" s="177"/>
      <c r="GD30" s="177"/>
      <c r="GE30" s="177"/>
      <c r="GF30" s="177"/>
      <c r="GG30" s="177"/>
      <c r="GH30" s="27"/>
      <c r="GI30" s="27"/>
      <c r="GJ30" s="27"/>
      <c r="GK30" s="27"/>
      <c r="GL30" s="27"/>
      <c r="GM30" s="27"/>
      <c r="GN30" s="27"/>
      <c r="GO30" s="27"/>
      <c r="GP30" s="27"/>
      <c r="GQ30" s="27"/>
      <c r="GR30" s="27"/>
      <c r="GS30" s="177"/>
      <c r="GT30" s="177"/>
      <c r="GU30" s="177"/>
      <c r="GV30" s="177"/>
      <c r="GW30" s="177"/>
      <c r="GX30" s="177"/>
      <c r="HL30" s="95"/>
      <c r="HM30" s="95"/>
      <c r="HN30" s="95"/>
      <c r="HO30" s="95"/>
      <c r="HP30" s="95"/>
      <c r="HQ30" s="95"/>
    </row>
    <row r="31" spans="1:262" x14ac:dyDescent="0.2">
      <c r="A31" s="3" t="s">
        <v>54</v>
      </c>
      <c r="B31">
        <v>1540</v>
      </c>
      <c r="C31">
        <v>570</v>
      </c>
      <c r="D31">
        <v>1.19</v>
      </c>
      <c r="E31">
        <v>0.15</v>
      </c>
      <c r="F31" s="2">
        <f t="shared" si="45"/>
        <v>231</v>
      </c>
      <c r="G31" t="s">
        <v>11</v>
      </c>
      <c r="H31" s="20"/>
      <c r="I31" s="21"/>
      <c r="J31">
        <v>231</v>
      </c>
      <c r="K31" s="94">
        <f t="shared" si="90"/>
        <v>6.3452159999999997</v>
      </c>
      <c r="L31" s="94">
        <v>416.14</v>
      </c>
      <c r="M31" s="94">
        <f t="shared" si="46"/>
        <v>819.59039999999993</v>
      </c>
      <c r="N31" s="95">
        <f t="shared" si="47"/>
        <v>5822396.6399999997</v>
      </c>
      <c r="O31" s="96">
        <f t="shared" si="48"/>
        <v>2275622488.7999997</v>
      </c>
      <c r="P31" s="95">
        <f t="shared" si="49"/>
        <v>4545421920</v>
      </c>
      <c r="Q31">
        <v>1.19</v>
      </c>
      <c r="R31" s="27">
        <f t="shared" si="50"/>
        <v>1744.2364262399999</v>
      </c>
      <c r="S31" s="27">
        <f t="shared" si="51"/>
        <v>114392.72459999999</v>
      </c>
      <c r="T31" s="27">
        <f t="shared" si="52"/>
        <v>225297.20505599995</v>
      </c>
      <c r="U31">
        <f t="shared" si="53"/>
        <v>1600518612.3695998</v>
      </c>
      <c r="V31" s="27">
        <f t="shared" si="54"/>
        <v>625545865946.23193</v>
      </c>
      <c r="W31" s="27">
        <f t="shared" si="55"/>
        <v>1249491031588.8</v>
      </c>
      <c r="X31" s="18"/>
      <c r="Y31">
        <v>2.3999999999999998E-3</v>
      </c>
      <c r="Z31">
        <v>0.99760000000000004</v>
      </c>
      <c r="AA31" s="94">
        <f t="shared" si="56"/>
        <v>4.1861674229759993</v>
      </c>
      <c r="AB31" s="94">
        <f t="shared" si="57"/>
        <v>274.54253903999995</v>
      </c>
      <c r="AC31" s="94">
        <f t="shared" si="58"/>
        <v>540.71329213439981</v>
      </c>
      <c r="AD31">
        <f t="shared" si="59"/>
        <v>3841244.6696870392</v>
      </c>
      <c r="AE31" s="27">
        <f t="shared" si="60"/>
        <v>1501310078.2709565</v>
      </c>
      <c r="AF31" s="27">
        <f t="shared" si="61"/>
        <v>2998778475.8131199</v>
      </c>
      <c r="AG31" s="94">
        <f t="shared" si="62"/>
        <v>1740.0502588170241</v>
      </c>
      <c r="AH31" s="94">
        <f t="shared" si="63"/>
        <v>114118.18206096</v>
      </c>
      <c r="AI31" s="94">
        <f t="shared" si="64"/>
        <v>224756.49176386555</v>
      </c>
      <c r="AJ31" s="27">
        <f t="shared" si="65"/>
        <v>1596677367.6999128</v>
      </c>
      <c r="AK31" s="95">
        <f t="shared" si="66"/>
        <v>624044555867.96106</v>
      </c>
      <c r="AL31" s="27">
        <f t="shared" si="67"/>
        <v>1246492253112.9871</v>
      </c>
      <c r="AM31" s="27"/>
      <c r="AN31" s="27"/>
      <c r="AO31" s="27"/>
      <c r="AP31" s="27"/>
      <c r="AQ31" s="27"/>
      <c r="AR31" s="27"/>
      <c r="AT31" s="95"/>
      <c r="AU31" s="95"/>
      <c r="AV31" s="95"/>
      <c r="AW31" s="95"/>
      <c r="AX31" s="95"/>
      <c r="AY31" s="18"/>
      <c r="AZ31">
        <v>19</v>
      </c>
      <c r="BA31" s="34">
        <f t="shared" si="68"/>
        <v>2.1689497716894978E-3</v>
      </c>
      <c r="BB31" s="34">
        <f t="shared" si="69"/>
        <v>0.99783105022831053</v>
      </c>
      <c r="BC31" s="94">
        <f t="shared" si="70"/>
        <v>3.7740816115894358</v>
      </c>
      <c r="BD31" s="94">
        <f t="shared" si="71"/>
        <v>1.8870408057947179</v>
      </c>
      <c r="BE31" s="94">
        <f t="shared" si="72"/>
        <v>1738.1632180112294</v>
      </c>
      <c r="BF31">
        <f t="shared" si="73"/>
        <v>3463113.0121345143</v>
      </c>
      <c r="BG31">
        <f t="shared" si="74"/>
        <v>1731556.5060672571</v>
      </c>
      <c r="BH31">
        <f t="shared" si="75"/>
        <v>1594945811.1938455</v>
      </c>
      <c r="BI31" s="27"/>
      <c r="BJ31" s="27"/>
      <c r="BM31" s="94">
        <f t="shared" si="87"/>
        <v>247.51660492673972</v>
      </c>
      <c r="BN31" s="94">
        <f t="shared" si="76"/>
        <v>123.75830246336986</v>
      </c>
      <c r="BO31" s="94">
        <f t="shared" si="77"/>
        <v>113994.42375849662</v>
      </c>
      <c r="BP31" s="95">
        <f t="shared" si="88"/>
        <v>1353521296.9738882</v>
      </c>
      <c r="BQ31" s="95">
        <f t="shared" si="78"/>
        <v>676760648.48694408</v>
      </c>
      <c r="BR31" s="95">
        <f t="shared" si="79"/>
        <v>623367795219.47412</v>
      </c>
      <c r="BW31" s="94">
        <f t="shared" si="89"/>
        <v>487.48554149696866</v>
      </c>
      <c r="BX31" s="94">
        <f t="shared" si="80"/>
        <v>243.74277074848433</v>
      </c>
      <c r="BY31" s="94">
        <f t="shared" si="81"/>
        <v>224512.74899311707</v>
      </c>
      <c r="BZ31" s="95">
        <f t="shared" si="82"/>
        <v>2703579087.8021407</v>
      </c>
      <c r="CA31" s="95">
        <f t="shared" si="83"/>
        <v>1351789543.9010704</v>
      </c>
      <c r="CB31" s="95">
        <f t="shared" si="84"/>
        <v>1245140463569.0862</v>
      </c>
      <c r="CG31" s="18"/>
      <c r="CN31" s="95"/>
      <c r="CR31" s="95"/>
      <c r="CT31" s="95"/>
      <c r="CV31" s="95"/>
      <c r="CX31" s="95"/>
      <c r="CZ31" s="95"/>
      <c r="DB31" s="95"/>
      <c r="DC31" s="117"/>
      <c r="DR31" s="95"/>
      <c r="DV31" s="95"/>
      <c r="DW31" s="95"/>
      <c r="DX31" s="95"/>
      <c r="ED31" s="27"/>
      <c r="EE31" s="27"/>
      <c r="EF31" s="27"/>
      <c r="EG31" s="27"/>
      <c r="FL31" s="121"/>
      <c r="GA31" s="177"/>
      <c r="GB31" s="177"/>
      <c r="GC31" s="177"/>
      <c r="GD31" s="177"/>
      <c r="GE31" s="177"/>
      <c r="GF31" s="177"/>
      <c r="GG31" s="177"/>
      <c r="GH31" s="27"/>
      <c r="GI31" s="27"/>
      <c r="GJ31" s="27"/>
      <c r="GK31" s="27"/>
      <c r="GL31" s="27"/>
      <c r="GM31" s="27"/>
      <c r="GN31" s="27"/>
      <c r="GO31" s="27"/>
      <c r="GP31" s="27"/>
      <c r="GQ31" s="27"/>
      <c r="GR31" s="27"/>
      <c r="GS31" s="177"/>
      <c r="GT31" s="177"/>
      <c r="GU31" s="177"/>
      <c r="GV31" s="177"/>
      <c r="GW31" s="177"/>
      <c r="GX31" s="177"/>
      <c r="HL31" s="95"/>
      <c r="HM31" s="95"/>
      <c r="HN31" s="95"/>
      <c r="HO31" s="95"/>
      <c r="HP31" s="95"/>
      <c r="HQ31" s="95"/>
    </row>
    <row r="32" spans="1:262" x14ac:dyDescent="0.2">
      <c r="A32" s="3" t="s">
        <v>55</v>
      </c>
      <c r="B32">
        <v>1512</v>
      </c>
      <c r="C32">
        <v>1053</v>
      </c>
      <c r="D32">
        <v>0.46</v>
      </c>
      <c r="E32">
        <v>0.1</v>
      </c>
      <c r="F32" s="2">
        <f t="shared" si="45"/>
        <v>151.20000000000002</v>
      </c>
      <c r="G32" t="s">
        <v>11</v>
      </c>
      <c r="H32" s="20"/>
      <c r="I32" s="21"/>
      <c r="J32">
        <v>151</v>
      </c>
      <c r="K32" s="94">
        <f t="shared" si="90"/>
        <v>6.3452159999999997</v>
      </c>
      <c r="L32" s="94">
        <v>416.14</v>
      </c>
      <c r="M32" s="94">
        <f t="shared" si="46"/>
        <v>819.59039999999993</v>
      </c>
      <c r="N32" s="95">
        <f t="shared" si="47"/>
        <v>5822396.6399999997</v>
      </c>
      <c r="O32" s="96">
        <f t="shared" si="48"/>
        <v>2275622488.7999997</v>
      </c>
      <c r="P32" s="95">
        <f t="shared" si="49"/>
        <v>4545421920</v>
      </c>
      <c r="Q32">
        <v>0.46</v>
      </c>
      <c r="R32" s="27">
        <f t="shared" si="50"/>
        <v>440.73870335999999</v>
      </c>
      <c r="S32" s="27">
        <f t="shared" si="51"/>
        <v>28905.0844</v>
      </c>
      <c r="T32" s="27">
        <f t="shared" si="52"/>
        <v>56928.749183999993</v>
      </c>
      <c r="U32">
        <f t="shared" si="53"/>
        <v>404423670.61440003</v>
      </c>
      <c r="V32" s="27">
        <f t="shared" si="54"/>
        <v>158064738072.04797</v>
      </c>
      <c r="W32" s="27">
        <f t="shared" si="55"/>
        <v>315725006563.20001</v>
      </c>
      <c r="X32" s="18"/>
      <c r="Y32">
        <v>2.3999999999999998E-3</v>
      </c>
      <c r="Z32">
        <v>0.99760000000000004</v>
      </c>
      <c r="AA32" s="94">
        <f t="shared" si="56"/>
        <v>1.0577728880639998</v>
      </c>
      <c r="AB32" s="94">
        <f t="shared" si="57"/>
        <v>69.372202559999991</v>
      </c>
      <c r="AC32" s="94">
        <f t="shared" si="58"/>
        <v>136.62899804159997</v>
      </c>
      <c r="AD32">
        <f t="shared" si="59"/>
        <v>970616.80947455997</v>
      </c>
      <c r="AE32" s="27">
        <f t="shared" si="60"/>
        <v>379355371.37291509</v>
      </c>
      <c r="AF32" s="27">
        <f t="shared" si="61"/>
        <v>757740015.75168002</v>
      </c>
      <c r="AG32" s="94">
        <f t="shared" si="62"/>
        <v>439.68093047193599</v>
      </c>
      <c r="AH32" s="94">
        <f t="shared" si="63"/>
        <v>28835.71219744</v>
      </c>
      <c r="AI32" s="94">
        <f t="shared" si="64"/>
        <v>56792.120185958396</v>
      </c>
      <c r="AJ32" s="27">
        <f t="shared" si="65"/>
        <v>403453053.8049255</v>
      </c>
      <c r="AK32" s="95">
        <f t="shared" si="66"/>
        <v>157685382700.67508</v>
      </c>
      <c r="AL32" s="27">
        <f t="shared" si="67"/>
        <v>314967266547.44836</v>
      </c>
      <c r="AM32" s="27"/>
      <c r="AN32" s="27"/>
      <c r="AO32" s="27"/>
      <c r="AP32" s="27"/>
      <c r="AQ32" s="27"/>
      <c r="AR32" s="27"/>
      <c r="AT32" s="95"/>
      <c r="AU32" s="95"/>
      <c r="AV32" s="95"/>
      <c r="AW32" s="95"/>
      <c r="AX32" s="95"/>
      <c r="AY32" s="18"/>
      <c r="AZ32">
        <v>11</v>
      </c>
      <c r="BA32" s="34">
        <f t="shared" si="68"/>
        <v>1.2557077625570776E-3</v>
      </c>
      <c r="BB32" s="34">
        <f t="shared" si="69"/>
        <v>0.99874429223744288</v>
      </c>
      <c r="BC32" s="94">
        <f t="shared" si="70"/>
        <v>0.55211075744192872</v>
      </c>
      <c r="BD32" s="94">
        <f t="shared" si="71"/>
        <v>0.27605537872096436</v>
      </c>
      <c r="BE32" s="94">
        <f t="shared" si="72"/>
        <v>439.40487509321503</v>
      </c>
      <c r="BF32">
        <f t="shared" si="73"/>
        <v>506619.13149020326</v>
      </c>
      <c r="BG32">
        <f t="shared" si="74"/>
        <v>253309.56574510163</v>
      </c>
      <c r="BH32">
        <f t="shared" si="75"/>
        <v>403199744.23918039</v>
      </c>
      <c r="BI32" s="27"/>
      <c r="BJ32" s="27"/>
      <c r="BM32" s="94">
        <f t="shared" si="87"/>
        <v>36.209227645187212</v>
      </c>
      <c r="BN32" s="94">
        <f t="shared" si="76"/>
        <v>18.104613822593606</v>
      </c>
      <c r="BO32" s="94">
        <f t="shared" si="77"/>
        <v>28817.607583617406</v>
      </c>
      <c r="BP32" s="95">
        <f t="shared" si="88"/>
        <v>198006759.09902123</v>
      </c>
      <c r="BQ32" s="95">
        <f t="shared" si="78"/>
        <v>99003379.549510613</v>
      </c>
      <c r="BR32" s="95">
        <f t="shared" si="79"/>
        <v>157586379321.12555</v>
      </c>
      <c r="BW32" s="94">
        <f t="shared" si="89"/>
        <v>71.314306169582466</v>
      </c>
      <c r="BX32" s="94">
        <f t="shared" si="80"/>
        <v>35.657153084791233</v>
      </c>
      <c r="BY32" s="94">
        <f t="shared" si="81"/>
        <v>56756.463032873602</v>
      </c>
      <c r="BZ32" s="95">
        <f t="shared" si="82"/>
        <v>395506841.55501509</v>
      </c>
      <c r="CA32" s="95">
        <f t="shared" si="83"/>
        <v>197753420.77750754</v>
      </c>
      <c r="CB32" s="95">
        <f t="shared" si="84"/>
        <v>314769513126.67084</v>
      </c>
      <c r="CG32" s="18"/>
      <c r="CN32" s="95"/>
      <c r="CR32" s="95"/>
      <c r="CT32" s="95"/>
      <c r="CV32" s="95"/>
      <c r="CX32" s="95"/>
      <c r="CZ32" s="95"/>
      <c r="DB32" s="95"/>
      <c r="DC32" s="117"/>
      <c r="DR32" s="95"/>
      <c r="DV32" s="95"/>
      <c r="DW32" s="95"/>
      <c r="DX32" s="95"/>
      <c r="ED32" s="27"/>
      <c r="EE32" s="27"/>
      <c r="EF32" s="27"/>
      <c r="EG32" s="27"/>
      <c r="FL32" s="121"/>
      <c r="GA32" s="177"/>
      <c r="GB32" s="177"/>
      <c r="GC32" s="177"/>
      <c r="GD32" s="177"/>
      <c r="GE32" s="177"/>
      <c r="GF32" s="177"/>
      <c r="GG32" s="177"/>
      <c r="GH32" s="27"/>
      <c r="GI32" s="27"/>
      <c r="GJ32" s="27"/>
      <c r="GK32" s="27"/>
      <c r="GL32" s="27"/>
      <c r="GM32" s="27"/>
      <c r="GN32" s="27"/>
      <c r="GO32" s="27"/>
      <c r="GP32" s="27"/>
      <c r="GQ32" s="27"/>
      <c r="GR32" s="27"/>
      <c r="GS32" s="177"/>
      <c r="GT32" s="177"/>
      <c r="GU32" s="177"/>
      <c r="GV32" s="177"/>
      <c r="GW32" s="177"/>
      <c r="GX32" s="177"/>
      <c r="HL32" s="95"/>
      <c r="HM32" s="95"/>
      <c r="HN32" s="95"/>
      <c r="HO32" s="95"/>
      <c r="HP32" s="95"/>
      <c r="HQ32" s="95"/>
    </row>
    <row r="33" spans="1:225" x14ac:dyDescent="0.2">
      <c r="A33" s="3" t="s">
        <v>56</v>
      </c>
      <c r="B33">
        <v>1568</v>
      </c>
      <c r="C33">
        <v>87</v>
      </c>
      <c r="D33">
        <v>0.66</v>
      </c>
      <c r="E33">
        <v>0.05</v>
      </c>
      <c r="F33" s="2">
        <f t="shared" si="45"/>
        <v>78.400000000000006</v>
      </c>
      <c r="G33" t="s">
        <v>11</v>
      </c>
      <c r="H33" s="20"/>
      <c r="I33" s="21"/>
      <c r="J33">
        <v>78</v>
      </c>
      <c r="K33" s="94">
        <f t="shared" si="90"/>
        <v>6.3452159999999997</v>
      </c>
      <c r="L33" s="94">
        <v>416.14</v>
      </c>
      <c r="M33" s="94">
        <f t="shared" si="46"/>
        <v>819.59039999999993</v>
      </c>
      <c r="N33" s="95">
        <f t="shared" si="47"/>
        <v>5822396.6399999997</v>
      </c>
      <c r="O33" s="96">
        <f t="shared" si="48"/>
        <v>2275622488.7999997</v>
      </c>
      <c r="P33" s="95">
        <f t="shared" si="49"/>
        <v>4545421920</v>
      </c>
      <c r="Q33">
        <v>0.66</v>
      </c>
      <c r="R33" s="27">
        <f t="shared" si="50"/>
        <v>326.65171968000004</v>
      </c>
      <c r="S33" s="27">
        <f t="shared" si="51"/>
        <v>21422.887200000001</v>
      </c>
      <c r="T33" s="27">
        <f t="shared" si="52"/>
        <v>42192.513791999998</v>
      </c>
      <c r="U33">
        <f t="shared" si="53"/>
        <v>299736979.02719998</v>
      </c>
      <c r="V33" s="27">
        <f t="shared" si="54"/>
        <v>117149045723.42398</v>
      </c>
      <c r="W33" s="27">
        <f t="shared" si="55"/>
        <v>233998320441.60001</v>
      </c>
      <c r="X33" s="18"/>
      <c r="Y33">
        <v>2.3999999999999998E-3</v>
      </c>
      <c r="Z33">
        <v>0.99760000000000004</v>
      </c>
      <c r="AA33" s="94">
        <f t="shared" si="56"/>
        <v>0.78396412723200004</v>
      </c>
      <c r="AB33" s="94">
        <f t="shared" si="57"/>
        <v>51.414929279999996</v>
      </c>
      <c r="AC33" s="94">
        <f t="shared" si="58"/>
        <v>101.26203310079998</v>
      </c>
      <c r="AD33">
        <f t="shared" si="59"/>
        <v>719368.74966527987</v>
      </c>
      <c r="AE33" s="27">
        <f t="shared" si="60"/>
        <v>281157709.73621756</v>
      </c>
      <c r="AF33" s="27">
        <f t="shared" si="61"/>
        <v>561595969.05983996</v>
      </c>
      <c r="AG33" s="94">
        <f t="shared" si="62"/>
        <v>325.86775555276807</v>
      </c>
      <c r="AH33" s="94">
        <f t="shared" si="63"/>
        <v>21371.472270720002</v>
      </c>
      <c r="AI33" s="94">
        <f t="shared" si="64"/>
        <v>42091.251758899198</v>
      </c>
      <c r="AJ33" s="27">
        <f t="shared" si="65"/>
        <v>299017610.27753472</v>
      </c>
      <c r="AK33" s="95">
        <f t="shared" si="66"/>
        <v>116867888013.68777</v>
      </c>
      <c r="AL33" s="27">
        <f t="shared" si="67"/>
        <v>233436724472.54016</v>
      </c>
      <c r="AM33" s="27"/>
      <c r="AN33" s="27"/>
      <c r="AO33" s="27"/>
      <c r="AP33" s="27"/>
      <c r="AQ33" s="27"/>
      <c r="AR33" s="27"/>
      <c r="AT33" s="95"/>
      <c r="AU33" s="95"/>
      <c r="AV33" s="95"/>
      <c r="AW33" s="95"/>
      <c r="AX33" s="95"/>
      <c r="AY33" s="18"/>
      <c r="AZ33">
        <v>112</v>
      </c>
      <c r="BA33" s="34">
        <f t="shared" si="68"/>
        <v>1.2785388127853882E-2</v>
      </c>
      <c r="BB33" s="34">
        <f t="shared" si="69"/>
        <v>0.9872146118721461</v>
      </c>
      <c r="BC33" s="94">
        <f t="shared" si="70"/>
        <v>4.1663457330947518</v>
      </c>
      <c r="BD33" s="94">
        <f t="shared" si="71"/>
        <v>2.0831728665473759</v>
      </c>
      <c r="BE33" s="94">
        <f t="shared" si="72"/>
        <v>323.78458268622069</v>
      </c>
      <c r="BF33">
        <f t="shared" si="73"/>
        <v>3823056.2044616314</v>
      </c>
      <c r="BG33">
        <f t="shared" si="74"/>
        <v>1911528.1022308157</v>
      </c>
      <c r="BH33">
        <f t="shared" si="75"/>
        <v>297106082.17530388</v>
      </c>
      <c r="BI33" s="27"/>
      <c r="BJ33" s="27"/>
      <c r="BM33" s="94">
        <f t="shared" si="87"/>
        <v>273.24256784482196</v>
      </c>
      <c r="BN33" s="94">
        <f t="shared" si="76"/>
        <v>136.62128392241098</v>
      </c>
      <c r="BO33" s="94">
        <f t="shared" si="77"/>
        <v>21234.850986797588</v>
      </c>
      <c r="BP33" s="95">
        <f t="shared" si="88"/>
        <v>1494201307.9375606</v>
      </c>
      <c r="BQ33" s="95">
        <f t="shared" si="78"/>
        <v>747100653.96878028</v>
      </c>
      <c r="BR33" s="95">
        <f t="shared" si="79"/>
        <v>116120787359.71899</v>
      </c>
      <c r="BW33" s="94">
        <f t="shared" si="89"/>
        <v>538.15299052473858</v>
      </c>
      <c r="BX33" s="94">
        <f t="shared" si="80"/>
        <v>269.07649526236929</v>
      </c>
      <c r="BY33" s="94">
        <f t="shared" si="81"/>
        <v>41822.175263636833</v>
      </c>
      <c r="BZ33" s="95">
        <f t="shared" si="82"/>
        <v>2984579125.6763129</v>
      </c>
      <c r="CA33" s="95">
        <f t="shared" si="83"/>
        <v>1492289562.8381565</v>
      </c>
      <c r="CB33" s="95">
        <f t="shared" si="84"/>
        <v>231944434909.702</v>
      </c>
      <c r="CG33" s="18"/>
      <c r="CN33" s="95"/>
      <c r="CR33" s="95"/>
      <c r="CT33" s="95"/>
      <c r="CV33" s="95"/>
      <c r="CX33" s="95"/>
      <c r="CZ33" s="95"/>
      <c r="DB33" s="95"/>
      <c r="DC33" s="117"/>
      <c r="DR33" s="95"/>
      <c r="DV33" s="95"/>
      <c r="DW33" s="95"/>
      <c r="DX33" s="95"/>
      <c r="ED33" s="27"/>
      <c r="EE33" s="27"/>
      <c r="EF33" s="27"/>
      <c r="EG33" s="27"/>
      <c r="FL33" s="121"/>
      <c r="GA33" s="177"/>
      <c r="GB33" s="177"/>
      <c r="GC33" s="177"/>
      <c r="GD33" s="177"/>
      <c r="GE33" s="177"/>
      <c r="GF33" s="177"/>
      <c r="GG33" s="177"/>
      <c r="GH33" s="27"/>
      <c r="GI33" s="27"/>
      <c r="GJ33" s="27"/>
      <c r="GK33" s="27"/>
      <c r="GL33" s="27"/>
      <c r="GM33" s="27"/>
      <c r="GN33" s="27"/>
      <c r="GO33" s="27"/>
      <c r="GP33" s="27"/>
      <c r="GQ33" s="27"/>
      <c r="GR33" s="27"/>
      <c r="GS33" s="177"/>
      <c r="GT33" s="177"/>
      <c r="GU33" s="177"/>
      <c r="GV33" s="177"/>
      <c r="GW33" s="177"/>
      <c r="GX33" s="177"/>
      <c r="HL33" s="95"/>
      <c r="HM33" s="95"/>
      <c r="HN33" s="95"/>
      <c r="HO33" s="95"/>
      <c r="HP33" s="95"/>
      <c r="HQ33" s="95"/>
    </row>
    <row r="34" spans="1:225" x14ac:dyDescent="0.2">
      <c r="A34" s="3" t="s">
        <v>53</v>
      </c>
      <c r="B34">
        <v>1540</v>
      </c>
      <c r="C34">
        <v>570</v>
      </c>
      <c r="D34">
        <v>1.23</v>
      </c>
      <c r="E34">
        <v>0.12</v>
      </c>
      <c r="F34" s="2">
        <f t="shared" si="45"/>
        <v>184.79999999999998</v>
      </c>
      <c r="G34" t="s">
        <v>11</v>
      </c>
      <c r="H34" s="20"/>
      <c r="I34" s="21"/>
      <c r="J34">
        <v>185</v>
      </c>
      <c r="K34" s="94">
        <f t="shared" si="90"/>
        <v>6.3452159999999997</v>
      </c>
      <c r="L34" s="94">
        <v>416.14</v>
      </c>
      <c r="M34" s="94">
        <f t="shared" si="46"/>
        <v>819.59039999999993</v>
      </c>
      <c r="N34" s="95">
        <f t="shared" si="47"/>
        <v>5822396.6399999997</v>
      </c>
      <c r="O34" s="96">
        <f t="shared" si="48"/>
        <v>2275622488.7999997</v>
      </c>
      <c r="P34" s="95">
        <f t="shared" si="49"/>
        <v>4545421920</v>
      </c>
      <c r="Q34">
        <v>1.23</v>
      </c>
      <c r="R34" s="27">
        <f t="shared" si="50"/>
        <v>1443.8539007999998</v>
      </c>
      <c r="S34" s="27">
        <f t="shared" si="51"/>
        <v>94692.656999999992</v>
      </c>
      <c r="T34" s="27">
        <f t="shared" si="52"/>
        <v>186497.79551999999</v>
      </c>
      <c r="U34">
        <f t="shared" si="53"/>
        <v>1324886355.4319999</v>
      </c>
      <c r="V34" s="27">
        <f t="shared" si="54"/>
        <v>517817897326.43994</v>
      </c>
      <c r="W34" s="27">
        <f t="shared" si="55"/>
        <v>1034310757896</v>
      </c>
      <c r="X34" s="18"/>
      <c r="Y34">
        <v>2.3999999999999998E-3</v>
      </c>
      <c r="Z34">
        <v>0.99760000000000004</v>
      </c>
      <c r="AA34" s="94">
        <f t="shared" si="56"/>
        <v>3.4652493619199993</v>
      </c>
      <c r="AB34" s="94">
        <f t="shared" si="57"/>
        <v>227.26237679999997</v>
      </c>
      <c r="AC34" s="94">
        <f t="shared" si="58"/>
        <v>447.5947092479999</v>
      </c>
      <c r="AD34">
        <f t="shared" si="59"/>
        <v>3179727.2530367994</v>
      </c>
      <c r="AE34" s="27">
        <f t="shared" si="60"/>
        <v>1242762953.5834558</v>
      </c>
      <c r="AF34" s="27">
        <f t="shared" si="61"/>
        <v>2482345818.9503999</v>
      </c>
      <c r="AG34" s="94">
        <f t="shared" si="62"/>
        <v>1440.3886514380799</v>
      </c>
      <c r="AH34" s="94">
        <f t="shared" si="63"/>
        <v>94465.394623200002</v>
      </c>
      <c r="AI34" s="94">
        <f t="shared" si="64"/>
        <v>186050.20081075199</v>
      </c>
      <c r="AJ34" s="27">
        <f t="shared" si="65"/>
        <v>1321706628.1789632</v>
      </c>
      <c r="AK34" s="95">
        <f t="shared" si="66"/>
        <v>516575134372.85651</v>
      </c>
      <c r="AL34" s="27">
        <f t="shared" si="67"/>
        <v>1031828412077.0497</v>
      </c>
      <c r="AM34" s="27"/>
      <c r="AN34" s="27"/>
      <c r="AO34" s="27"/>
      <c r="AP34" s="27"/>
      <c r="AQ34" s="27"/>
      <c r="AR34" s="27"/>
      <c r="AT34" s="95"/>
      <c r="AU34" s="95"/>
      <c r="AV34" s="95"/>
      <c r="AW34" s="95"/>
      <c r="AX34" s="95"/>
      <c r="AY34" s="18"/>
      <c r="AZ34">
        <v>24</v>
      </c>
      <c r="BA34" s="34">
        <f t="shared" si="68"/>
        <v>2.7397260273972603E-3</v>
      </c>
      <c r="BB34" s="34">
        <f t="shared" si="69"/>
        <v>0.99726027397260275</v>
      </c>
      <c r="BC34" s="94">
        <f t="shared" si="70"/>
        <v>3.9462702779125478</v>
      </c>
      <c r="BD34" s="94">
        <f t="shared" si="71"/>
        <v>1.9731351389562739</v>
      </c>
      <c r="BE34" s="94">
        <f t="shared" si="72"/>
        <v>1438.4155162991235</v>
      </c>
      <c r="BF34">
        <f t="shared" si="73"/>
        <v>3621114.0498053785</v>
      </c>
      <c r="BG34">
        <f t="shared" si="74"/>
        <v>1810557.0249026893</v>
      </c>
      <c r="BH34">
        <f t="shared" si="75"/>
        <v>1319896071.1540604</v>
      </c>
      <c r="BI34" s="27"/>
      <c r="BJ34" s="27"/>
      <c r="BM34" s="94">
        <f t="shared" si="87"/>
        <v>258.80930033753424</v>
      </c>
      <c r="BN34" s="94">
        <f t="shared" si="76"/>
        <v>129.40465016876712</v>
      </c>
      <c r="BO34" s="94">
        <f t="shared" si="77"/>
        <v>94335.989973031232</v>
      </c>
      <c r="BP34" s="95">
        <f t="shared" si="88"/>
        <v>1415274340.7475522</v>
      </c>
      <c r="BQ34" s="95">
        <f t="shared" si="78"/>
        <v>707637170.37377608</v>
      </c>
      <c r="BR34" s="95">
        <f t="shared" si="79"/>
        <v>515867497202.48273</v>
      </c>
      <c r="BW34" s="94">
        <f t="shared" si="89"/>
        <v>509.7265775637041</v>
      </c>
      <c r="BX34" s="94">
        <f t="shared" si="80"/>
        <v>254.86328878185205</v>
      </c>
      <c r="BY34" s="94">
        <f t="shared" si="81"/>
        <v>185795.33752197013</v>
      </c>
      <c r="BZ34" s="95">
        <f t="shared" si="82"/>
        <v>2826927156.3754787</v>
      </c>
      <c r="CA34" s="95">
        <f t="shared" si="83"/>
        <v>1413463578.1877394</v>
      </c>
      <c r="CB34" s="95">
        <f t="shared" si="84"/>
        <v>1030414948498.8619</v>
      </c>
      <c r="CG34" s="18"/>
      <c r="CN34" s="95"/>
      <c r="CR34" s="95"/>
      <c r="CT34" s="95"/>
      <c r="CV34" s="95"/>
      <c r="CX34" s="95"/>
      <c r="CZ34" s="95"/>
      <c r="DB34" s="95"/>
      <c r="DC34" s="117"/>
      <c r="DR34" s="95"/>
      <c r="DV34" s="95"/>
      <c r="DW34" s="95"/>
      <c r="DX34" s="95"/>
      <c r="ED34" s="27"/>
      <c r="EE34" s="27"/>
      <c r="EF34" s="27"/>
      <c r="EG34" s="27"/>
      <c r="FL34" s="121"/>
      <c r="GA34" s="177"/>
      <c r="GB34" s="177"/>
      <c r="GC34" s="177"/>
      <c r="GD34" s="177"/>
      <c r="GE34" s="177"/>
      <c r="GF34" s="177"/>
      <c r="GG34" s="177"/>
      <c r="GH34" s="27"/>
      <c r="GI34" s="27"/>
      <c r="GJ34" s="27"/>
      <c r="GK34" s="27"/>
      <c r="GL34" s="27"/>
      <c r="GM34" s="27"/>
      <c r="GN34" s="27"/>
      <c r="GO34" s="27"/>
      <c r="GP34" s="27"/>
      <c r="GQ34" s="27"/>
      <c r="GR34" s="27"/>
      <c r="GS34" s="177"/>
      <c r="GT34" s="177"/>
      <c r="GU34" s="177"/>
      <c r="GV34" s="177"/>
      <c r="GW34" s="177"/>
      <c r="GX34" s="177"/>
      <c r="HL34" s="95"/>
      <c r="HM34" s="95"/>
      <c r="HN34" s="95"/>
      <c r="HO34" s="95"/>
      <c r="HP34" s="95"/>
      <c r="HQ34" s="95"/>
    </row>
    <row r="35" spans="1:225" x14ac:dyDescent="0.2">
      <c r="A35" s="3" t="s">
        <v>57</v>
      </c>
      <c r="B35">
        <v>1927</v>
      </c>
      <c r="C35">
        <v>748</v>
      </c>
      <c r="D35">
        <v>1.35</v>
      </c>
      <c r="E35">
        <v>0.2</v>
      </c>
      <c r="F35" s="2">
        <f t="shared" si="45"/>
        <v>385.40000000000003</v>
      </c>
      <c r="G35" t="s">
        <v>11</v>
      </c>
      <c r="H35" s="20"/>
      <c r="I35" s="21"/>
      <c r="J35">
        <v>385</v>
      </c>
      <c r="K35" s="94">
        <f t="shared" si="90"/>
        <v>6.3452159999999997</v>
      </c>
      <c r="L35" s="94">
        <v>416.14</v>
      </c>
      <c r="M35" s="94">
        <f t="shared" si="46"/>
        <v>819.59039999999993</v>
      </c>
      <c r="N35" s="95">
        <f t="shared" si="47"/>
        <v>5822396.6399999997</v>
      </c>
      <c r="O35" s="96">
        <f t="shared" si="48"/>
        <v>2275622488.7999997</v>
      </c>
      <c r="P35" s="95">
        <f t="shared" si="49"/>
        <v>4545421920</v>
      </c>
      <c r="Q35">
        <v>1.35</v>
      </c>
      <c r="R35" s="27">
        <f t="shared" si="50"/>
        <v>3297.9260160000003</v>
      </c>
      <c r="S35" s="27">
        <f t="shared" si="51"/>
        <v>216288.76500000001</v>
      </c>
      <c r="T35" s="27">
        <f t="shared" si="52"/>
        <v>425982.11039999995</v>
      </c>
      <c r="U35">
        <f t="shared" si="53"/>
        <v>3026190653.6400003</v>
      </c>
      <c r="V35" s="27">
        <f t="shared" si="54"/>
        <v>1182754788553.7998</v>
      </c>
      <c r="W35" s="27">
        <f t="shared" si="55"/>
        <v>2362483042920</v>
      </c>
      <c r="X35" s="18"/>
      <c r="Y35">
        <v>2.3999999999999998E-3</v>
      </c>
      <c r="Z35">
        <v>0.99760000000000004</v>
      </c>
      <c r="AA35" s="94">
        <f t="shared" si="56"/>
        <v>7.9150224384000003</v>
      </c>
      <c r="AB35" s="94">
        <f t="shared" si="57"/>
        <v>519.09303599999998</v>
      </c>
      <c r="AC35" s="94">
        <f t="shared" si="58"/>
        <v>1022.3570649599998</v>
      </c>
      <c r="AD35">
        <f t="shared" si="59"/>
        <v>7262857.568736</v>
      </c>
      <c r="AE35" s="27">
        <f t="shared" si="60"/>
        <v>2838611492.5291195</v>
      </c>
      <c r="AF35" s="27">
        <f t="shared" si="61"/>
        <v>5669959303.0079994</v>
      </c>
      <c r="AG35" s="94">
        <f t="shared" si="62"/>
        <v>3290.0109935616006</v>
      </c>
      <c r="AH35" s="94">
        <f t="shared" si="63"/>
        <v>215769.67196400004</v>
      </c>
      <c r="AI35" s="94">
        <f t="shared" si="64"/>
        <v>424959.75333503995</v>
      </c>
      <c r="AJ35" s="27">
        <f t="shared" si="65"/>
        <v>3018927796.0712643</v>
      </c>
      <c r="AK35" s="95">
        <f t="shared" si="66"/>
        <v>1179916177061.2708</v>
      </c>
      <c r="AL35" s="27">
        <f t="shared" si="67"/>
        <v>2356813083616.9922</v>
      </c>
      <c r="AM35" s="27"/>
      <c r="AN35" s="27"/>
      <c r="AO35" s="27"/>
      <c r="AP35" s="27"/>
      <c r="AQ35" s="27"/>
      <c r="AR35" s="27"/>
      <c r="AT35" s="95"/>
      <c r="AU35" s="95"/>
      <c r="AV35" s="95"/>
      <c r="AW35" s="95"/>
      <c r="AX35" s="95"/>
      <c r="AY35" s="18"/>
      <c r="AZ35">
        <v>288</v>
      </c>
      <c r="BA35" s="34">
        <f t="shared" si="68"/>
        <v>3.287671232876712E-2</v>
      </c>
      <c r="BB35" s="34">
        <f t="shared" si="69"/>
        <v>0.9671232876712329</v>
      </c>
      <c r="BC35" s="94">
        <f t="shared" si="70"/>
        <v>108.16474499380604</v>
      </c>
      <c r="BD35" s="94">
        <f t="shared" si="71"/>
        <v>54.08237249690302</v>
      </c>
      <c r="BE35" s="94">
        <f t="shared" si="72"/>
        <v>3235.9286210646978</v>
      </c>
      <c r="BF35">
        <f t="shared" si="73"/>
        <v>99252420.692753881</v>
      </c>
      <c r="BG35">
        <f t="shared" si="74"/>
        <v>49626210.346376941</v>
      </c>
      <c r="BH35">
        <f t="shared" si="75"/>
        <v>2969301585.7248874</v>
      </c>
      <c r="BI35" s="27"/>
      <c r="BJ35" s="27"/>
      <c r="BM35" s="94">
        <f t="shared" si="87"/>
        <v>7093.7974344328768</v>
      </c>
      <c r="BN35" s="94">
        <f t="shared" si="76"/>
        <v>3546.8987172164384</v>
      </c>
      <c r="BO35" s="94">
        <f t="shared" si="77"/>
        <v>212222.77324678362</v>
      </c>
      <c r="BP35" s="95">
        <f t="shared" si="88"/>
        <v>38791764725.302048</v>
      </c>
      <c r="BQ35" s="95">
        <f t="shared" si="78"/>
        <v>19395882362.651024</v>
      </c>
      <c r="BR35" s="95">
        <f t="shared" si="79"/>
        <v>1160520294698.6199</v>
      </c>
      <c r="BW35" s="94">
        <f t="shared" si="89"/>
        <v>13971.279561699943</v>
      </c>
      <c r="BX35" s="94">
        <f t="shared" si="80"/>
        <v>6985.6397808499714</v>
      </c>
      <c r="BY35" s="94">
        <f t="shared" si="81"/>
        <v>417974.11355418997</v>
      </c>
      <c r="BZ35" s="95">
        <f t="shared" si="82"/>
        <v>77484265762.750427</v>
      </c>
      <c r="CA35" s="95">
        <f t="shared" si="83"/>
        <v>38742132881.375214</v>
      </c>
      <c r="CB35" s="95">
        <f t="shared" si="84"/>
        <v>2318070950735.6167</v>
      </c>
      <c r="CG35" s="18"/>
      <c r="CN35" s="95"/>
      <c r="CR35" s="95"/>
      <c r="CT35" s="95"/>
      <c r="CV35" s="95"/>
      <c r="CX35" s="95"/>
      <c r="CZ35" s="95"/>
      <c r="DB35" s="95"/>
      <c r="DC35" s="117"/>
      <c r="DR35" s="95"/>
      <c r="DV35" s="95"/>
      <c r="DW35" s="95"/>
      <c r="DX35" s="95"/>
      <c r="ED35" s="27"/>
      <c r="EE35" s="27"/>
      <c r="EF35" s="27"/>
      <c r="EG35" s="27"/>
      <c r="FL35" s="121"/>
      <c r="GA35" s="177"/>
      <c r="GB35" s="177"/>
      <c r="GC35" s="177"/>
      <c r="GD35" s="177"/>
      <c r="GE35" s="177"/>
      <c r="GF35" s="177"/>
      <c r="GG35" s="177"/>
      <c r="GH35" s="27"/>
      <c r="GI35" s="27"/>
      <c r="GJ35" s="27"/>
      <c r="GK35" s="27"/>
      <c r="GL35" s="27"/>
      <c r="GM35" s="27"/>
      <c r="GN35" s="27"/>
      <c r="GO35" s="27"/>
      <c r="GP35" s="27"/>
      <c r="GQ35" s="27"/>
      <c r="GR35" s="27"/>
      <c r="GS35" s="177"/>
      <c r="GT35" s="177"/>
      <c r="GU35" s="177"/>
      <c r="GV35" s="177"/>
      <c r="GW35" s="177"/>
      <c r="GX35" s="177"/>
      <c r="HL35" s="95"/>
      <c r="HM35" s="95"/>
      <c r="HN35" s="95"/>
      <c r="HO35" s="95"/>
      <c r="HP35" s="95"/>
      <c r="HQ35" s="95"/>
    </row>
    <row r="36" spans="1:225" x14ac:dyDescent="0.2">
      <c r="A36" s="3" t="s">
        <v>58</v>
      </c>
      <c r="B36">
        <v>1992</v>
      </c>
      <c r="C36">
        <v>2623</v>
      </c>
      <c r="D36">
        <v>3.21</v>
      </c>
      <c r="E36">
        <v>2.1</v>
      </c>
      <c r="F36" s="2">
        <f t="shared" si="45"/>
        <v>4183.2</v>
      </c>
      <c r="G36" t="s">
        <v>11</v>
      </c>
      <c r="H36" s="20"/>
      <c r="I36" s="21"/>
      <c r="J36">
        <v>4183</v>
      </c>
      <c r="K36" s="94">
        <f t="shared" si="90"/>
        <v>6.3452159999999997</v>
      </c>
      <c r="L36" s="94">
        <v>416.14</v>
      </c>
      <c r="M36" s="94">
        <f t="shared" si="46"/>
        <v>819.59039999999993</v>
      </c>
      <c r="N36" s="95">
        <f t="shared" si="47"/>
        <v>5822396.6399999997</v>
      </c>
      <c r="O36" s="96">
        <f t="shared" si="48"/>
        <v>2275622488.7999997</v>
      </c>
      <c r="P36" s="95">
        <f t="shared" si="49"/>
        <v>4545421920</v>
      </c>
      <c r="Q36">
        <v>3.21</v>
      </c>
      <c r="R36" s="27">
        <f t="shared" si="50"/>
        <v>85199.943674879993</v>
      </c>
      <c r="S36" s="27">
        <f t="shared" si="51"/>
        <v>5587690.7201999994</v>
      </c>
      <c r="T36" s="27">
        <f t="shared" si="52"/>
        <v>11004992.724671999</v>
      </c>
      <c r="U36">
        <f t="shared" si="53"/>
        <v>78179823315.83519</v>
      </c>
      <c r="V36" s="27">
        <f t="shared" si="54"/>
        <v>30555761674787.777</v>
      </c>
      <c r="W36" s="27">
        <f t="shared" si="55"/>
        <v>61033334651265.602</v>
      </c>
      <c r="X36" s="18"/>
      <c r="Y36">
        <v>2.3999999999999998E-3</v>
      </c>
      <c r="Z36">
        <v>0.99760000000000004</v>
      </c>
      <c r="AA36" s="94">
        <f t="shared" si="56"/>
        <v>204.47986481971196</v>
      </c>
      <c r="AB36" s="94">
        <f t="shared" si="57"/>
        <v>13410.457728479998</v>
      </c>
      <c r="AC36" s="94">
        <f t="shared" si="58"/>
        <v>26411.982539212797</v>
      </c>
      <c r="AD36">
        <f t="shared" si="59"/>
        <v>187631575.95800444</v>
      </c>
      <c r="AE36" s="27">
        <f t="shared" si="60"/>
        <v>73333828019.490662</v>
      </c>
      <c r="AF36" s="27">
        <f t="shared" si="61"/>
        <v>146480003163.03745</v>
      </c>
      <c r="AG36" s="94">
        <f t="shared" si="62"/>
        <v>84995.46381006029</v>
      </c>
      <c r="AH36" s="94">
        <f t="shared" si="63"/>
        <v>5574280.2624715194</v>
      </c>
      <c r="AI36" s="94">
        <f t="shared" si="64"/>
        <v>10978580.742132787</v>
      </c>
      <c r="AJ36" s="27">
        <f t="shared" si="65"/>
        <v>77992191739.877182</v>
      </c>
      <c r="AK36" s="95">
        <f t="shared" si="66"/>
        <v>30482427846768.289</v>
      </c>
      <c r="AL36" s="27">
        <f t="shared" si="67"/>
        <v>60886854648102.57</v>
      </c>
      <c r="AM36" s="27"/>
      <c r="AN36" s="27"/>
      <c r="AO36" s="27"/>
      <c r="AP36" s="27"/>
      <c r="AQ36" s="27"/>
      <c r="AR36" s="27"/>
      <c r="AT36" s="95"/>
      <c r="AU36" s="95"/>
      <c r="AV36" s="95"/>
      <c r="AW36" s="95"/>
      <c r="AX36" s="95"/>
      <c r="AY36" s="18"/>
      <c r="AZ36" t="s">
        <v>87</v>
      </c>
      <c r="BA36" s="34"/>
      <c r="BB36" s="34"/>
      <c r="BC36" s="94"/>
      <c r="BD36" s="94"/>
      <c r="BE36" s="94"/>
      <c r="BI36" s="27"/>
      <c r="BJ36" s="27"/>
      <c r="BM36" s="94"/>
      <c r="BN36" s="94"/>
      <c r="BO36" s="94"/>
      <c r="BP36" s="95"/>
      <c r="BQ36" s="95"/>
      <c r="BR36" s="95"/>
      <c r="BW36" s="94"/>
      <c r="BX36" s="94"/>
      <c r="BY36" s="94"/>
      <c r="BZ36" s="95"/>
      <c r="CA36" s="95"/>
      <c r="CB36" s="95"/>
      <c r="CG36" s="18"/>
      <c r="CN36" s="95"/>
      <c r="CR36" s="95"/>
      <c r="CT36" s="95"/>
      <c r="CV36" s="95"/>
      <c r="CX36" s="95"/>
      <c r="CZ36" s="95"/>
      <c r="DB36" s="95"/>
      <c r="DC36" s="117"/>
      <c r="DR36" s="95"/>
      <c r="DV36" s="95"/>
      <c r="DW36" s="95"/>
      <c r="DX36" s="95"/>
      <c r="ED36" s="27"/>
      <c r="EE36" s="27"/>
      <c r="EF36" s="27"/>
      <c r="EG36" s="27"/>
      <c r="FL36" s="121"/>
      <c r="GA36" s="177"/>
      <c r="GB36" s="177"/>
      <c r="GC36" s="177"/>
      <c r="GD36" s="177"/>
      <c r="GE36" s="177"/>
      <c r="GF36" s="177"/>
      <c r="GG36" s="177"/>
      <c r="GH36" s="27"/>
      <c r="GI36" s="27"/>
      <c r="GJ36" s="27"/>
      <c r="GK36" s="27"/>
      <c r="GL36" s="27"/>
      <c r="GM36" s="27"/>
      <c r="GN36" s="27"/>
      <c r="GO36" s="27"/>
      <c r="GP36" s="27"/>
      <c r="GQ36" s="27"/>
      <c r="GR36" s="27"/>
      <c r="GS36" s="177"/>
      <c r="GT36" s="177"/>
      <c r="GU36" s="177"/>
      <c r="GV36" s="177"/>
      <c r="GW36" s="177"/>
      <c r="GX36" s="177"/>
      <c r="HL36" s="95"/>
      <c r="HM36" s="95"/>
      <c r="HN36" s="95"/>
      <c r="HO36" s="95"/>
      <c r="HP36" s="95"/>
      <c r="HQ36" s="95"/>
    </row>
    <row r="37" spans="1:225" x14ac:dyDescent="0.2">
      <c r="A37" s="3" t="s">
        <v>73</v>
      </c>
      <c r="B37">
        <v>1764</v>
      </c>
      <c r="C37">
        <v>1055</v>
      </c>
      <c r="D37">
        <v>0.98</v>
      </c>
      <c r="E37">
        <v>0.5</v>
      </c>
      <c r="F37" s="2">
        <f t="shared" si="45"/>
        <v>882</v>
      </c>
      <c r="G37" t="s">
        <v>11</v>
      </c>
      <c r="H37" s="20"/>
      <c r="I37" s="21"/>
      <c r="J37">
        <v>882</v>
      </c>
      <c r="K37" s="94">
        <f t="shared" si="90"/>
        <v>6.3452159999999997</v>
      </c>
      <c r="L37" s="94">
        <v>416.14</v>
      </c>
      <c r="M37" s="94">
        <f t="shared" si="46"/>
        <v>819.59039999999993</v>
      </c>
      <c r="N37" s="95">
        <f t="shared" si="47"/>
        <v>5822396.6399999997</v>
      </c>
      <c r="O37" s="96">
        <f t="shared" si="48"/>
        <v>2275622488.7999997</v>
      </c>
      <c r="P37" s="95">
        <f t="shared" si="49"/>
        <v>4545421920</v>
      </c>
      <c r="Q37">
        <v>0.98</v>
      </c>
      <c r="R37" s="27">
        <f t="shared" si="50"/>
        <v>5484.5509017599998</v>
      </c>
      <c r="S37" s="27">
        <f t="shared" si="51"/>
        <v>359694.77039999998</v>
      </c>
      <c r="T37" s="27">
        <f t="shared" si="52"/>
        <v>708421.15814399987</v>
      </c>
      <c r="U37">
        <f t="shared" si="53"/>
        <v>5032646759.7503996</v>
      </c>
      <c r="V37" s="27">
        <f t="shared" si="54"/>
        <v>1966957054419.1677</v>
      </c>
      <c r="W37" s="27">
        <f t="shared" si="55"/>
        <v>3928880890771.1997</v>
      </c>
      <c r="X37" s="18"/>
      <c r="Y37">
        <v>2.3999999999999998E-3</v>
      </c>
      <c r="Z37">
        <v>0.99760000000000004</v>
      </c>
      <c r="AA37" s="94">
        <f t="shared" si="56"/>
        <v>13.162922164223998</v>
      </c>
      <c r="AB37" s="94">
        <f t="shared" si="57"/>
        <v>863.26744895999991</v>
      </c>
      <c r="AC37" s="94">
        <f t="shared" si="58"/>
        <v>1700.2107795455995</v>
      </c>
      <c r="AD37">
        <f t="shared" si="59"/>
        <v>12078352.223400958</v>
      </c>
      <c r="AE37" s="27">
        <f t="shared" si="60"/>
        <v>4720696930.6060019</v>
      </c>
      <c r="AF37" s="27">
        <f t="shared" si="61"/>
        <v>9429314137.8508778</v>
      </c>
      <c r="AG37" s="94">
        <f t="shared" si="62"/>
        <v>5471.3879795957764</v>
      </c>
      <c r="AH37" s="94">
        <f t="shared" si="63"/>
        <v>358831.50295103999</v>
      </c>
      <c r="AI37" s="94">
        <f t="shared" si="64"/>
        <v>706720.94736445427</v>
      </c>
      <c r="AJ37" s="27">
        <f t="shared" si="65"/>
        <v>5020568407.5269985</v>
      </c>
      <c r="AK37" s="95">
        <f t="shared" si="66"/>
        <v>1962236357488.5618</v>
      </c>
      <c r="AL37" s="27">
        <f t="shared" si="67"/>
        <v>3919451576633.3491</v>
      </c>
      <c r="AM37" s="27"/>
      <c r="AN37" s="27"/>
      <c r="AO37" s="27"/>
      <c r="AP37" s="27"/>
      <c r="AQ37" s="27"/>
      <c r="AR37" s="27"/>
      <c r="AT37" s="95"/>
      <c r="AU37" s="95"/>
      <c r="AV37" s="95"/>
      <c r="AW37" s="95"/>
      <c r="AX37" s="95"/>
      <c r="AY37" s="18"/>
      <c r="AZ37">
        <v>43</v>
      </c>
      <c r="BA37" s="34">
        <f t="shared" ref="BA37:BA51" si="91" xml:space="preserve"> AZ37 / 8760</f>
        <v>4.9086757990867581E-3</v>
      </c>
      <c r="BB37" s="34">
        <f t="shared" ref="BB37:BB51" si="92" xml:space="preserve"> 1 - BA37</f>
        <v>0.99509132420091329</v>
      </c>
      <c r="BC37" s="94">
        <f t="shared" ref="BC37:BC51" si="93" xml:space="preserve"> AG37 * BA37</f>
        <v>26.857269762855982</v>
      </c>
      <c r="BD37" s="94">
        <f t="shared" ref="BD37:BD51" si="94" xml:space="preserve"> BC37 /2</f>
        <v>13.428634881427991</v>
      </c>
      <c r="BE37" s="94">
        <f t="shared" ref="BE37:BE51" si="95" xml:space="preserve"> AG37 * BB37 + BD37</f>
        <v>5457.9593447143479</v>
      </c>
      <c r="BF37">
        <f t="shared" ref="BF37:BF51" si="96" xml:space="preserve"> AJ37 * BA37</f>
        <v>24644342.639687322</v>
      </c>
      <c r="BG37">
        <f t="shared" ref="BG37:BG51" si="97" xml:space="preserve"> BF37 / 2</f>
        <v>12322171.319843661</v>
      </c>
      <c r="BH37">
        <f t="shared" ref="BH37:BH51" si="98" xml:space="preserve"> AJ37 * BB37 + BG37</f>
        <v>5008246236.2071543</v>
      </c>
      <c r="BI37" s="27"/>
      <c r="BJ37" s="27"/>
      <c r="BM37" s="94">
        <f t="shared" si="87"/>
        <v>1761.3875144856986</v>
      </c>
      <c r="BN37" s="94">
        <f t="shared" ref="BN37:BN51" si="99" xml:space="preserve"> BM37 / 2</f>
        <v>880.6937572428493</v>
      </c>
      <c r="BO37" s="94">
        <f t="shared" ref="BO37:BO51" si="100" xml:space="preserve"> AH37 * BB37 + BN37</f>
        <v>357950.80919379718</v>
      </c>
      <c r="BP37" s="95">
        <f t="shared" si="88"/>
        <v>9631982120.0922546</v>
      </c>
      <c r="BQ37" s="95">
        <f t="shared" ref="BQ37:BQ51" si="101" xml:space="preserve"> BP37 / 2</f>
        <v>4815991060.0461273</v>
      </c>
      <c r="BR37" s="95">
        <f t="shared" ref="BR37:BR51" si="102" xml:space="preserve"> AK37 * BB37 + BQ37</f>
        <v>1957420366428.5156</v>
      </c>
      <c r="BW37" s="94">
        <f t="shared" si="89"/>
        <v>3469.0640110355635</v>
      </c>
      <c r="BX37" s="94">
        <f t="shared" ref="BX37:BX51" si="103" xml:space="preserve"> BW37 / 2</f>
        <v>1734.5320055177817</v>
      </c>
      <c r="BY37" s="94">
        <f t="shared" ref="BY37:BY51" si="104" xml:space="preserve"> AI37 * BB37 + BX37</f>
        <v>704986.41535893653</v>
      </c>
      <c r="BZ37" s="95">
        <f t="shared" si="82"/>
        <v>19239317099.91256</v>
      </c>
      <c r="CA37" s="95">
        <f t="shared" ref="CA37:CA51" si="105" xml:space="preserve"> BZ37 / 2</f>
        <v>9619658549.9562798</v>
      </c>
      <c r="CB37" s="95">
        <f t="shared" ref="CB37:CB51" si="106" xml:space="preserve"> AL37 * BB37 + CA37</f>
        <v>3909831918083.3926</v>
      </c>
      <c r="CG37" s="18"/>
      <c r="CN37" s="95"/>
      <c r="CR37" s="95"/>
      <c r="CT37" s="95"/>
      <c r="CV37" s="95"/>
      <c r="CX37" s="95"/>
      <c r="CZ37" s="95"/>
      <c r="DB37" s="95"/>
      <c r="DC37" s="117"/>
      <c r="DR37" s="95"/>
      <c r="DV37" s="95"/>
      <c r="DW37" s="95"/>
      <c r="DX37" s="95"/>
      <c r="ED37" s="27"/>
      <c r="EE37" s="27"/>
      <c r="EF37" s="27"/>
      <c r="EG37" s="27"/>
      <c r="FL37" s="121"/>
      <c r="GA37" s="177"/>
      <c r="GB37" s="177"/>
      <c r="GC37" s="177"/>
      <c r="GD37" s="177"/>
      <c r="GE37" s="177"/>
      <c r="GF37" s="177"/>
      <c r="GG37" s="177"/>
      <c r="GH37" s="27"/>
      <c r="GI37" s="27"/>
      <c r="GJ37" s="27"/>
      <c r="GK37" s="27"/>
      <c r="GL37" s="27"/>
      <c r="GM37" s="27"/>
      <c r="GN37" s="27"/>
      <c r="GO37" s="27"/>
      <c r="GP37" s="27"/>
      <c r="GQ37" s="27"/>
      <c r="GR37" s="27"/>
      <c r="GS37" s="177"/>
      <c r="GT37" s="177"/>
      <c r="GU37" s="177"/>
      <c r="GV37" s="177"/>
      <c r="GW37" s="177"/>
      <c r="GX37" s="177"/>
      <c r="HL37" s="95"/>
      <c r="HM37" s="95"/>
      <c r="HN37" s="95"/>
      <c r="HO37" s="95"/>
      <c r="HP37" s="95"/>
      <c r="HQ37" s="95"/>
    </row>
    <row r="38" spans="1:225" x14ac:dyDescent="0.2">
      <c r="A38" s="3" t="s">
        <v>59</v>
      </c>
      <c r="B38">
        <v>1648</v>
      </c>
      <c r="C38">
        <v>2043</v>
      </c>
      <c r="D38">
        <v>0.85</v>
      </c>
      <c r="F38" s="2">
        <f>B38*D38</f>
        <v>1400.8</v>
      </c>
      <c r="G38" t="s">
        <v>126</v>
      </c>
      <c r="H38" s="20"/>
      <c r="I38" s="21"/>
      <c r="J38">
        <v>1401</v>
      </c>
      <c r="K38" s="94">
        <f t="shared" si="90"/>
        <v>6.3452159999999997</v>
      </c>
      <c r="L38" s="94">
        <v>416.14</v>
      </c>
      <c r="M38" s="94">
        <f t="shared" si="46"/>
        <v>819.59039999999993</v>
      </c>
      <c r="N38" s="95">
        <f t="shared" si="47"/>
        <v>5822396.6399999997</v>
      </c>
      <c r="O38" s="96">
        <f t="shared" si="48"/>
        <v>2275622488.7999997</v>
      </c>
      <c r="P38" s="95">
        <f t="shared" si="49"/>
        <v>4545421920</v>
      </c>
      <c r="Q38">
        <v>0.85</v>
      </c>
      <c r="R38" s="27">
        <f t="shared" si="50"/>
        <v>7556.2004735999999</v>
      </c>
      <c r="S38" s="27">
        <f t="shared" si="51"/>
        <v>495560.31900000002</v>
      </c>
      <c r="T38" s="27">
        <f t="shared" si="52"/>
        <v>976009.22783999995</v>
      </c>
      <c r="U38">
        <f t="shared" si="53"/>
        <v>6933601038.7439995</v>
      </c>
      <c r="V38" s="27">
        <f t="shared" si="54"/>
        <v>2709925040787.48</v>
      </c>
      <c r="W38" s="27">
        <f t="shared" si="55"/>
        <v>5412915693432</v>
      </c>
      <c r="X38" s="18"/>
      <c r="Y38">
        <v>2.3999999999999998E-3</v>
      </c>
      <c r="Z38">
        <v>0.99760000000000004</v>
      </c>
      <c r="AA38" s="94">
        <f t="shared" si="56"/>
        <v>18.134881136639997</v>
      </c>
      <c r="AB38" s="94">
        <f t="shared" si="57"/>
        <v>1189.3447655999998</v>
      </c>
      <c r="AC38" s="94">
        <f t="shared" si="58"/>
        <v>2342.4221468159999</v>
      </c>
      <c r="AD38">
        <f t="shared" si="59"/>
        <v>16640642.492985597</v>
      </c>
      <c r="AE38" s="27">
        <f t="shared" si="60"/>
        <v>6503820097.8899517</v>
      </c>
      <c r="AF38" s="27">
        <f t="shared" si="61"/>
        <v>12990997664.236799</v>
      </c>
      <c r="AG38" s="94">
        <f t="shared" si="62"/>
        <v>7538.0655924633602</v>
      </c>
      <c r="AH38" s="94">
        <f t="shared" si="63"/>
        <v>494370.97423440003</v>
      </c>
      <c r="AI38" s="94">
        <f t="shared" si="64"/>
        <v>973666.80569318403</v>
      </c>
      <c r="AJ38" s="27">
        <f t="shared" si="65"/>
        <v>6916960396.2510138</v>
      </c>
      <c r="AK38" s="95">
        <f t="shared" si="66"/>
        <v>2703421220689.5903</v>
      </c>
      <c r="AL38" s="27">
        <f t="shared" si="67"/>
        <v>5399924695767.7637</v>
      </c>
      <c r="AM38" s="27"/>
      <c r="AN38" s="27"/>
      <c r="AO38" s="27"/>
      <c r="AP38" s="27"/>
      <c r="AQ38" s="27"/>
      <c r="AR38" s="27"/>
      <c r="AT38" s="95"/>
      <c r="AU38" s="95"/>
      <c r="AV38" s="95"/>
      <c r="AW38" s="95"/>
      <c r="AX38" s="95"/>
      <c r="AY38" s="18"/>
      <c r="AZ38">
        <v>207</v>
      </c>
      <c r="BA38" s="34">
        <f t="shared" si="91"/>
        <v>2.363013698630137E-2</v>
      </c>
      <c r="BB38" s="34">
        <f t="shared" si="92"/>
        <v>0.97636986301369866</v>
      </c>
      <c r="BC38" s="94">
        <f t="shared" si="93"/>
        <v>178.1255225616342</v>
      </c>
      <c r="BD38" s="94">
        <f t="shared" si="94"/>
        <v>89.062761280817099</v>
      </c>
      <c r="BE38" s="94">
        <f t="shared" si="95"/>
        <v>7449.0028311825436</v>
      </c>
      <c r="BF38">
        <f t="shared" si="96"/>
        <v>163448721.69223285</v>
      </c>
      <c r="BG38">
        <f t="shared" si="97"/>
        <v>81724360.846116424</v>
      </c>
      <c r="BH38">
        <f t="shared" si="98"/>
        <v>6835236035.4048967</v>
      </c>
      <c r="BI38" s="27"/>
      <c r="BJ38" s="27"/>
      <c r="BM38" s="94">
        <f t="shared" si="87"/>
        <v>11682.053843210138</v>
      </c>
      <c r="BN38" s="94">
        <f t="shared" si="99"/>
        <v>5841.0269216050692</v>
      </c>
      <c r="BO38" s="94">
        <f t="shared" si="100"/>
        <v>488529.94731279498</v>
      </c>
      <c r="BP38" s="95">
        <f t="shared" si="88"/>
        <v>63882213776.569084</v>
      </c>
      <c r="BQ38" s="95">
        <f t="shared" si="101"/>
        <v>31941106888.284542</v>
      </c>
      <c r="BR38" s="95">
        <f t="shared" si="102"/>
        <v>2671480113801.3062</v>
      </c>
      <c r="BW38" s="94">
        <f t="shared" si="89"/>
        <v>23007.879997544416</v>
      </c>
      <c r="BX38" s="94">
        <f t="shared" si="103"/>
        <v>11503.939998772208</v>
      </c>
      <c r="BY38" s="94">
        <f t="shared" si="104"/>
        <v>962162.86569441191</v>
      </c>
      <c r="BZ38" s="95">
        <f t="shared" si="82"/>
        <v>127600960276.70401</v>
      </c>
      <c r="CA38" s="95">
        <f t="shared" si="105"/>
        <v>63800480138.352005</v>
      </c>
      <c r="CB38" s="95">
        <f t="shared" si="106"/>
        <v>5336124215629.4111</v>
      </c>
      <c r="CG38" s="18"/>
      <c r="CN38" s="95"/>
      <c r="CR38" s="95"/>
      <c r="CT38" s="95"/>
      <c r="CV38" s="95"/>
      <c r="CX38" s="95"/>
      <c r="CZ38" s="95"/>
      <c r="DB38" s="95"/>
      <c r="DC38" s="117"/>
      <c r="DR38" s="95"/>
      <c r="DV38" s="95"/>
      <c r="DW38" s="95"/>
      <c r="DX38" s="95"/>
      <c r="ED38" s="27"/>
      <c r="EE38" s="27"/>
      <c r="EF38" s="27"/>
      <c r="EG38" s="27"/>
      <c r="FL38" s="121"/>
      <c r="GA38" s="177"/>
      <c r="GB38" s="177"/>
      <c r="GC38" s="177"/>
      <c r="GD38" s="177"/>
      <c r="GE38" s="177"/>
      <c r="GF38" s="177"/>
      <c r="GG38" s="177"/>
      <c r="GH38" s="27"/>
      <c r="GI38" s="27"/>
      <c r="GJ38" s="27"/>
      <c r="GK38" s="27"/>
      <c r="GL38" s="27"/>
      <c r="GM38" s="27"/>
      <c r="GN38" s="27"/>
      <c r="GO38" s="27"/>
      <c r="GP38" s="27"/>
      <c r="GQ38" s="27"/>
      <c r="GR38" s="27"/>
      <c r="GS38" s="177"/>
      <c r="GT38" s="177"/>
      <c r="GU38" s="177"/>
      <c r="GV38" s="177"/>
      <c r="GW38" s="177"/>
      <c r="GX38" s="177"/>
      <c r="HL38" s="95"/>
      <c r="HM38" s="95"/>
      <c r="HN38" s="95"/>
      <c r="HO38" s="95"/>
      <c r="HP38" s="95"/>
      <c r="HQ38" s="95"/>
    </row>
    <row r="39" spans="1:225" x14ac:dyDescent="0.2">
      <c r="A39" s="3" t="s">
        <v>60</v>
      </c>
      <c r="B39">
        <v>1503</v>
      </c>
      <c r="C39">
        <v>3031</v>
      </c>
      <c r="D39">
        <v>0.21</v>
      </c>
      <c r="F39" s="2">
        <f>B39*D39</f>
        <v>315.63</v>
      </c>
      <c r="G39" t="s">
        <v>16</v>
      </c>
      <c r="H39" s="20"/>
      <c r="I39" s="21"/>
      <c r="J39">
        <v>316</v>
      </c>
      <c r="K39" s="94">
        <f t="shared" si="90"/>
        <v>6.3452159999999997</v>
      </c>
      <c r="L39" s="94">
        <v>416.14</v>
      </c>
      <c r="M39" s="94">
        <f t="shared" si="46"/>
        <v>819.59039999999993</v>
      </c>
      <c r="N39" s="95">
        <f t="shared" si="47"/>
        <v>5822396.6399999997</v>
      </c>
      <c r="O39" s="96">
        <f t="shared" si="48"/>
        <v>2275622488.7999997</v>
      </c>
      <c r="P39" s="95">
        <f t="shared" si="49"/>
        <v>4545421920</v>
      </c>
      <c r="Q39">
        <v>0.21</v>
      </c>
      <c r="R39" s="27">
        <f t="shared" si="50"/>
        <v>421.06853375999998</v>
      </c>
      <c r="S39" s="27">
        <f t="shared" si="51"/>
        <v>27615.050399999996</v>
      </c>
      <c r="T39" s="27">
        <f t="shared" si="52"/>
        <v>54388.018943999996</v>
      </c>
      <c r="U39">
        <f t="shared" si="53"/>
        <v>386374241.03039998</v>
      </c>
      <c r="V39" s="27">
        <f t="shared" si="54"/>
        <v>151010308356.76797</v>
      </c>
      <c r="W39" s="27">
        <f t="shared" si="55"/>
        <v>301634198611.20001</v>
      </c>
      <c r="X39" s="18"/>
      <c r="Y39">
        <v>2.3999999999999998E-3</v>
      </c>
      <c r="Z39">
        <v>0.99760000000000004</v>
      </c>
      <c r="AA39" s="94">
        <f t="shared" si="56"/>
        <v>1.0105644810239998</v>
      </c>
      <c r="AB39" s="94">
        <f t="shared" si="57"/>
        <v>66.276120959999986</v>
      </c>
      <c r="AC39" s="94">
        <f t="shared" si="58"/>
        <v>130.53124546559997</v>
      </c>
      <c r="AD39">
        <f t="shared" si="59"/>
        <v>927298.1784729599</v>
      </c>
      <c r="AE39" s="27">
        <f t="shared" si="60"/>
        <v>362424740.05624312</v>
      </c>
      <c r="AF39" s="27">
        <f t="shared" si="61"/>
        <v>723922076.66688001</v>
      </c>
      <c r="AG39" s="94">
        <f t="shared" si="62"/>
        <v>420.05796927897597</v>
      </c>
      <c r="AH39" s="94">
        <f t="shared" si="63"/>
        <v>27548.774279039997</v>
      </c>
      <c r="AI39" s="94">
        <f t="shared" si="64"/>
        <v>54257.487698534402</v>
      </c>
      <c r="AJ39" s="27">
        <f t="shared" si="65"/>
        <v>385446942.85192704</v>
      </c>
      <c r="AK39" s="95">
        <f t="shared" si="66"/>
        <v>150647883616.71173</v>
      </c>
      <c r="AL39" s="27">
        <f t="shared" si="67"/>
        <v>300910276534.53314</v>
      </c>
      <c r="AM39" s="27"/>
      <c r="AN39" s="27"/>
      <c r="AO39" s="27"/>
      <c r="AP39" s="27"/>
      <c r="AQ39" s="27"/>
      <c r="AR39" s="27"/>
      <c r="AT39" s="95"/>
      <c r="AU39" s="95"/>
      <c r="AV39" s="95"/>
      <c r="AW39" s="95"/>
      <c r="AX39" s="95"/>
      <c r="AY39" s="18"/>
      <c r="AZ39">
        <v>315</v>
      </c>
      <c r="BA39" s="34">
        <f t="shared" si="91"/>
        <v>3.5958904109589039E-2</v>
      </c>
      <c r="BB39" s="34">
        <f t="shared" si="92"/>
        <v>0.96404109589041098</v>
      </c>
      <c r="BC39" s="94">
        <f t="shared" si="93"/>
        <v>15.104824237771396</v>
      </c>
      <c r="BD39" s="94">
        <f t="shared" si="94"/>
        <v>7.5524121188856981</v>
      </c>
      <c r="BE39" s="94">
        <f t="shared" si="95"/>
        <v>412.50555716009029</v>
      </c>
      <c r="BF39">
        <f t="shared" si="96"/>
        <v>13860249.65734669</v>
      </c>
      <c r="BG39">
        <f t="shared" si="97"/>
        <v>6930124.828673345</v>
      </c>
      <c r="BH39">
        <f t="shared" si="98"/>
        <v>378516818.02325374</v>
      </c>
      <c r="BI39" s="27"/>
      <c r="BJ39" s="27"/>
      <c r="BM39" s="94">
        <f t="shared" si="87"/>
        <v>990.62373263671213</v>
      </c>
      <c r="BN39" s="94">
        <f t="shared" si="99"/>
        <v>495.31186631835607</v>
      </c>
      <c r="BO39" s="94">
        <f t="shared" si="100"/>
        <v>27053.462412721641</v>
      </c>
      <c r="BP39" s="95">
        <f t="shared" si="88"/>
        <v>5417132801.2858667</v>
      </c>
      <c r="BQ39" s="95">
        <f t="shared" si="101"/>
        <v>2708566400.6429334</v>
      </c>
      <c r="BR39" s="95">
        <f t="shared" si="102"/>
        <v>147939317216.06882</v>
      </c>
      <c r="BW39" s="94">
        <f t="shared" si="89"/>
        <v>1951.0397973788054</v>
      </c>
      <c r="BX39" s="94">
        <f t="shared" si="103"/>
        <v>975.51989868940268</v>
      </c>
      <c r="BY39" s="94">
        <f t="shared" si="104"/>
        <v>53281.967799844999</v>
      </c>
      <c r="BZ39" s="95">
        <f t="shared" si="82"/>
        <v>10820403779.495197</v>
      </c>
      <c r="CA39" s="95">
        <f t="shared" si="105"/>
        <v>5410201889.7475986</v>
      </c>
      <c r="CB39" s="95">
        <f t="shared" si="106"/>
        <v>295500074644.78558</v>
      </c>
      <c r="CG39" s="18"/>
      <c r="CN39" s="95"/>
      <c r="CR39" s="95"/>
      <c r="CT39" s="95"/>
      <c r="CV39" s="95"/>
      <c r="CX39" s="95"/>
      <c r="CZ39" s="95"/>
      <c r="DB39" s="95"/>
      <c r="DC39" s="117"/>
      <c r="DR39" s="95"/>
      <c r="DV39" s="95"/>
      <c r="DW39" s="95"/>
      <c r="DX39" s="95"/>
      <c r="ED39" s="27"/>
      <c r="EE39" s="27"/>
      <c r="EF39" s="27"/>
      <c r="EG39" s="27"/>
      <c r="FL39" s="121"/>
      <c r="GA39" s="177"/>
      <c r="GB39" s="177"/>
      <c r="GC39" s="177"/>
      <c r="GD39" s="177"/>
      <c r="GE39" s="177"/>
      <c r="GF39" s="177"/>
      <c r="GG39" s="177"/>
      <c r="GH39" s="27"/>
      <c r="GI39" s="27"/>
      <c r="GJ39" s="27"/>
      <c r="GK39" s="27"/>
      <c r="GL39" s="27"/>
      <c r="GM39" s="27"/>
      <c r="GN39" s="27"/>
      <c r="GO39" s="27"/>
      <c r="GP39" s="27"/>
      <c r="GQ39" s="27"/>
      <c r="GR39" s="27"/>
      <c r="GS39" s="177"/>
      <c r="GT39" s="177"/>
      <c r="GU39" s="177"/>
      <c r="GV39" s="177"/>
      <c r="GW39" s="177"/>
      <c r="GX39" s="177"/>
      <c r="HL39" s="95"/>
      <c r="HM39" s="95"/>
      <c r="HN39" s="95"/>
      <c r="HO39" s="95"/>
      <c r="HP39" s="95"/>
      <c r="HQ39" s="95"/>
    </row>
    <row r="40" spans="1:225" x14ac:dyDescent="0.2">
      <c r="A40" s="3" t="s">
        <v>61</v>
      </c>
      <c r="B40">
        <v>1913</v>
      </c>
      <c r="C40">
        <v>1266</v>
      </c>
      <c r="D40">
        <v>3.65</v>
      </c>
      <c r="E40">
        <v>1.59</v>
      </c>
      <c r="F40" s="2">
        <f t="shared" ref="F40:F51" si="107">B40*E40</f>
        <v>3041.67</v>
      </c>
      <c r="G40" t="s">
        <v>11</v>
      </c>
      <c r="H40" s="20"/>
      <c r="I40" s="21"/>
      <c r="J40">
        <v>3042</v>
      </c>
      <c r="K40" s="94">
        <f t="shared" si="90"/>
        <v>6.3452159999999997</v>
      </c>
      <c r="L40" s="94">
        <v>416.14</v>
      </c>
      <c r="M40" s="94">
        <f t="shared" si="46"/>
        <v>819.59039999999993</v>
      </c>
      <c r="N40" s="95">
        <f t="shared" si="47"/>
        <v>5822396.6399999997</v>
      </c>
      <c r="O40" s="96">
        <f t="shared" si="48"/>
        <v>2275622488.7999997</v>
      </c>
      <c r="P40" s="95">
        <f t="shared" si="49"/>
        <v>4545421920</v>
      </c>
      <c r="Q40">
        <v>1.59</v>
      </c>
      <c r="R40" s="27">
        <f t="shared" si="50"/>
        <v>30690.413844480001</v>
      </c>
      <c r="S40" s="27">
        <f t="shared" si="51"/>
        <v>2012777.6291999999</v>
      </c>
      <c r="T40" s="27">
        <f t="shared" si="52"/>
        <v>3964178.4549119999</v>
      </c>
      <c r="U40">
        <f t="shared" si="53"/>
        <v>28161651620.419197</v>
      </c>
      <c r="V40" s="27">
        <f t="shared" si="54"/>
        <v>11006685341378.064</v>
      </c>
      <c r="W40" s="27">
        <f t="shared" si="55"/>
        <v>21985205834217.602</v>
      </c>
      <c r="X40" s="18"/>
      <c r="Y40">
        <v>2.3999999999999998E-3</v>
      </c>
      <c r="Z40">
        <v>0.99760000000000004</v>
      </c>
      <c r="AA40" s="94">
        <f t="shared" si="56"/>
        <v>73.656993226751993</v>
      </c>
      <c r="AB40" s="94">
        <f t="shared" si="57"/>
        <v>4830.6663100799988</v>
      </c>
      <c r="AC40" s="94">
        <f t="shared" si="58"/>
        <v>9514.028291788798</v>
      </c>
      <c r="AD40">
        <f t="shared" si="59"/>
        <v>67587963.889006063</v>
      </c>
      <c r="AE40" s="27">
        <f t="shared" si="60"/>
        <v>26416044819.307354</v>
      </c>
      <c r="AF40" s="27">
        <f t="shared" si="61"/>
        <v>52764494002.122238</v>
      </c>
      <c r="AG40" s="94">
        <f t="shared" si="62"/>
        <v>30616.756851253249</v>
      </c>
      <c r="AH40" s="94">
        <f t="shared" si="63"/>
        <v>2007946.96288992</v>
      </c>
      <c r="AI40" s="94">
        <f t="shared" si="64"/>
        <v>3954664.4266202115</v>
      </c>
      <c r="AJ40" s="27">
        <f t="shared" si="65"/>
        <v>28094063656.530193</v>
      </c>
      <c r="AK40" s="95">
        <f t="shared" si="66"/>
        <v>10980269296558.758</v>
      </c>
      <c r="AL40" s="27">
        <f t="shared" si="67"/>
        <v>21932441340215.48</v>
      </c>
      <c r="AM40" s="27"/>
      <c r="AN40" s="27"/>
      <c r="AO40" s="27"/>
      <c r="AP40" s="27"/>
      <c r="AQ40" s="27"/>
      <c r="AR40" s="27"/>
      <c r="AT40" s="95"/>
      <c r="AU40" s="95"/>
      <c r="AV40" s="95"/>
      <c r="AW40" s="95"/>
      <c r="AX40" s="95"/>
      <c r="AY40" s="18"/>
      <c r="AZ40">
        <v>114</v>
      </c>
      <c r="BA40" s="34">
        <f t="shared" si="91"/>
        <v>1.3013698630136987E-2</v>
      </c>
      <c r="BB40" s="34">
        <f t="shared" si="92"/>
        <v>0.98698630136986298</v>
      </c>
      <c r="BC40" s="94">
        <f t="shared" si="93"/>
        <v>398.4372466943916</v>
      </c>
      <c r="BD40" s="94">
        <f t="shared" si="94"/>
        <v>199.2186233471958</v>
      </c>
      <c r="BE40" s="94">
        <f t="shared" si="95"/>
        <v>30417.53822790605</v>
      </c>
      <c r="BF40">
        <f t="shared" si="96"/>
        <v>365607677.72196829</v>
      </c>
      <c r="BG40">
        <f t="shared" si="97"/>
        <v>182803838.86098415</v>
      </c>
      <c r="BH40">
        <f t="shared" si="98"/>
        <v>27911259817.669209</v>
      </c>
      <c r="BI40" s="27"/>
      <c r="BJ40" s="27"/>
      <c r="BM40" s="94">
        <f t="shared" si="87"/>
        <v>26130.816640348276</v>
      </c>
      <c r="BN40" s="94">
        <f t="shared" si="99"/>
        <v>13065.408320174138</v>
      </c>
      <c r="BO40" s="94">
        <f t="shared" si="100"/>
        <v>1994881.5545697457</v>
      </c>
      <c r="BP40" s="95">
        <f t="shared" si="88"/>
        <v>142893915503.16193</v>
      </c>
      <c r="BQ40" s="95">
        <f t="shared" si="101"/>
        <v>71446957751.580963</v>
      </c>
      <c r="BR40" s="95">
        <f t="shared" si="102"/>
        <v>10908822338807.176</v>
      </c>
      <c r="BW40" s="94">
        <f t="shared" si="89"/>
        <v>51464.81103135892</v>
      </c>
      <c r="BX40" s="94">
        <f t="shared" si="103"/>
        <v>25732.40551567946</v>
      </c>
      <c r="BY40" s="94">
        <f t="shared" si="104"/>
        <v>3928932.0211045318</v>
      </c>
      <c r="BZ40" s="95">
        <f t="shared" si="82"/>
        <v>285422181824.72198</v>
      </c>
      <c r="CA40" s="95">
        <f t="shared" si="105"/>
        <v>142711090912.36099</v>
      </c>
      <c r="CB40" s="95">
        <f t="shared" si="106"/>
        <v>21789730249303.117</v>
      </c>
      <c r="CG40" s="18"/>
      <c r="CN40" s="95"/>
      <c r="CR40" s="95"/>
      <c r="CT40" s="95"/>
      <c r="CV40" s="95"/>
      <c r="CX40" s="95"/>
      <c r="CZ40" s="95"/>
      <c r="DB40" s="95"/>
      <c r="DC40" s="117"/>
      <c r="DR40" s="95"/>
      <c r="DV40" s="95"/>
      <c r="DW40" s="95"/>
      <c r="DX40" s="95"/>
      <c r="ED40" s="27"/>
      <c r="EE40" s="27"/>
      <c r="EF40" s="27"/>
      <c r="EG40" s="27"/>
      <c r="FL40" s="121"/>
      <c r="GA40" s="177"/>
      <c r="GB40" s="177"/>
      <c r="GC40" s="177"/>
      <c r="GD40" s="177"/>
      <c r="GE40" s="177"/>
      <c r="GF40" s="177"/>
      <c r="GG40" s="177"/>
      <c r="GH40" s="27"/>
      <c r="GI40" s="27"/>
      <c r="GJ40" s="27"/>
      <c r="GK40" s="27"/>
      <c r="GL40" s="27"/>
      <c r="GM40" s="27"/>
      <c r="GN40" s="27"/>
      <c r="GO40" s="27"/>
      <c r="GP40" s="27"/>
      <c r="GQ40" s="27"/>
      <c r="GR40" s="27"/>
      <c r="GS40" s="177"/>
      <c r="GT40" s="177"/>
      <c r="GU40" s="177"/>
      <c r="GV40" s="177"/>
      <c r="GW40" s="177"/>
      <c r="GX40" s="177"/>
      <c r="HL40" s="95"/>
      <c r="HM40" s="95"/>
      <c r="HN40" s="95"/>
      <c r="HO40" s="95"/>
      <c r="HP40" s="95"/>
      <c r="HQ40" s="95"/>
    </row>
    <row r="41" spans="1:225" x14ac:dyDescent="0.2">
      <c r="A41" s="3" t="s">
        <v>62</v>
      </c>
      <c r="B41">
        <v>1890</v>
      </c>
      <c r="C41">
        <v>1398</v>
      </c>
      <c r="D41">
        <v>0.62</v>
      </c>
      <c r="E41">
        <v>0.55000000000000004</v>
      </c>
      <c r="F41" s="2">
        <f t="shared" si="107"/>
        <v>1039.5</v>
      </c>
      <c r="G41" t="s">
        <v>11</v>
      </c>
      <c r="H41" s="20"/>
      <c r="I41" s="21"/>
      <c r="J41">
        <v>1040</v>
      </c>
      <c r="K41" s="94">
        <f t="shared" si="90"/>
        <v>6.3452159999999997</v>
      </c>
      <c r="L41" s="94">
        <v>416.14</v>
      </c>
      <c r="M41" s="94">
        <f t="shared" si="46"/>
        <v>819.59039999999993</v>
      </c>
      <c r="N41" s="95">
        <f t="shared" si="47"/>
        <v>5822396.6399999997</v>
      </c>
      <c r="O41" s="96">
        <f t="shared" si="48"/>
        <v>2275622488.7999997</v>
      </c>
      <c r="P41" s="95">
        <f t="shared" si="49"/>
        <v>4545421920</v>
      </c>
      <c r="Q41">
        <v>0.55000000000000004</v>
      </c>
      <c r="R41" s="27">
        <f t="shared" si="50"/>
        <v>3629.4635520000002</v>
      </c>
      <c r="S41" s="27">
        <f t="shared" si="51"/>
        <v>238032.08000000002</v>
      </c>
      <c r="T41" s="27">
        <f t="shared" si="52"/>
        <v>468805.70880000002</v>
      </c>
      <c r="U41">
        <f t="shared" si="53"/>
        <v>3330410878.0799999</v>
      </c>
      <c r="V41" s="27">
        <f t="shared" si="54"/>
        <v>1301656063593.5999</v>
      </c>
      <c r="W41" s="27">
        <f t="shared" si="55"/>
        <v>2599981338240</v>
      </c>
      <c r="X41" s="18"/>
      <c r="Y41">
        <v>2.3999999999999998E-3</v>
      </c>
      <c r="Z41">
        <v>0.99760000000000004</v>
      </c>
      <c r="AA41" s="94">
        <f t="shared" si="56"/>
        <v>8.7107125247999999</v>
      </c>
      <c r="AB41" s="94">
        <f t="shared" si="57"/>
        <v>571.27699199999995</v>
      </c>
      <c r="AC41" s="94">
        <f t="shared" si="58"/>
        <v>1125.1337011199998</v>
      </c>
      <c r="AD41">
        <f t="shared" si="59"/>
        <v>7992986.1073919991</v>
      </c>
      <c r="AE41" s="27">
        <f t="shared" si="60"/>
        <v>3123974552.6246395</v>
      </c>
      <c r="AF41" s="27">
        <f t="shared" si="61"/>
        <v>6239955211.7759991</v>
      </c>
      <c r="AG41" s="94">
        <f t="shared" si="62"/>
        <v>3620.7528394752003</v>
      </c>
      <c r="AH41" s="94">
        <f t="shared" si="63"/>
        <v>237460.80300800002</v>
      </c>
      <c r="AI41" s="94">
        <f t="shared" si="64"/>
        <v>467680.57509888004</v>
      </c>
      <c r="AJ41" s="27">
        <f t="shared" si="65"/>
        <v>3322417891.9726081</v>
      </c>
      <c r="AK41" s="95">
        <f t="shared" si="66"/>
        <v>1298532089040.9753</v>
      </c>
      <c r="AL41" s="27">
        <f t="shared" si="67"/>
        <v>2593741383028.2241</v>
      </c>
      <c r="AM41" s="27"/>
      <c r="AN41" s="27"/>
      <c r="AO41" s="27"/>
      <c r="AP41" s="27"/>
      <c r="AQ41" s="27"/>
      <c r="AR41" s="27"/>
      <c r="AT41" s="95"/>
      <c r="AU41" s="95"/>
      <c r="AV41" s="95"/>
      <c r="AW41" s="95"/>
      <c r="AX41" s="95"/>
      <c r="AY41" s="18"/>
      <c r="AZ41">
        <v>147</v>
      </c>
      <c r="BA41" s="34">
        <f t="shared" si="91"/>
        <v>1.678082191780822E-2</v>
      </c>
      <c r="BB41" s="34">
        <f t="shared" si="92"/>
        <v>0.98321917808219172</v>
      </c>
      <c r="BC41" s="94">
        <f t="shared" si="93"/>
        <v>60.759208607631784</v>
      </c>
      <c r="BD41" s="94">
        <f t="shared" si="94"/>
        <v>30.379604303815892</v>
      </c>
      <c r="BE41" s="94">
        <f t="shared" si="95"/>
        <v>3590.3732351713843</v>
      </c>
      <c r="BF41">
        <f t="shared" si="96"/>
        <v>55752902.981732123</v>
      </c>
      <c r="BG41">
        <f t="shared" si="97"/>
        <v>27876451.490866061</v>
      </c>
      <c r="BH41">
        <f t="shared" si="98"/>
        <v>3294541440.4817419</v>
      </c>
      <c r="BI41" s="27"/>
      <c r="BJ41" s="27"/>
      <c r="BM41" s="94">
        <f t="shared" si="87"/>
        <v>3984.7874477369869</v>
      </c>
      <c r="BN41" s="94">
        <f t="shared" si="99"/>
        <v>1992.3937238684935</v>
      </c>
      <c r="BO41" s="94">
        <f t="shared" si="100"/>
        <v>235468.40928413151</v>
      </c>
      <c r="BP41" s="95">
        <f t="shared" si="88"/>
        <v>21790435740.756092</v>
      </c>
      <c r="BQ41" s="95">
        <f t="shared" si="101"/>
        <v>10895217870.378046</v>
      </c>
      <c r="BR41" s="95">
        <f t="shared" si="102"/>
        <v>1287636871170.5972</v>
      </c>
      <c r="BW41" s="94">
        <f t="shared" si="89"/>
        <v>7848.0644451524395</v>
      </c>
      <c r="BX41" s="94">
        <f t="shared" si="103"/>
        <v>3924.0322225762197</v>
      </c>
      <c r="BY41" s="94">
        <f t="shared" si="104"/>
        <v>463756.54287630378</v>
      </c>
      <c r="BZ41" s="95">
        <f t="shared" si="82"/>
        <v>43525112249.446228</v>
      </c>
      <c r="CA41" s="95">
        <f t="shared" si="105"/>
        <v>21762556124.723114</v>
      </c>
      <c r="CB41" s="95">
        <f t="shared" si="106"/>
        <v>2571978826903.501</v>
      </c>
      <c r="CG41" s="18"/>
      <c r="CN41" s="95"/>
      <c r="CR41" s="95"/>
      <c r="CT41" s="95"/>
      <c r="CV41" s="95"/>
      <c r="CX41" s="95"/>
      <c r="CZ41" s="95"/>
      <c r="DB41" s="95"/>
      <c r="DC41" s="117"/>
      <c r="DR41" s="95"/>
      <c r="DV41" s="95"/>
      <c r="DW41" s="95"/>
      <c r="DX41" s="95"/>
      <c r="ED41" s="27"/>
      <c r="EE41" s="27"/>
      <c r="EF41" s="27"/>
      <c r="EG41" s="27"/>
      <c r="FL41" s="121"/>
      <c r="GA41" s="177"/>
      <c r="GB41" s="177"/>
      <c r="GC41" s="177"/>
      <c r="GD41" s="177"/>
      <c r="GE41" s="177"/>
      <c r="GF41" s="177"/>
      <c r="GG41" s="177"/>
      <c r="GH41" s="27"/>
      <c r="GI41" s="27"/>
      <c r="GJ41" s="27"/>
      <c r="GK41" s="27"/>
      <c r="GL41" s="27"/>
      <c r="GM41" s="27"/>
      <c r="GN41" s="27"/>
      <c r="GO41" s="27"/>
      <c r="GP41" s="27"/>
      <c r="GQ41" s="27"/>
      <c r="GR41" s="27"/>
      <c r="GS41" s="177"/>
      <c r="GT41" s="177"/>
      <c r="GU41" s="177"/>
      <c r="GV41" s="177"/>
      <c r="GW41" s="177"/>
      <c r="GX41" s="177"/>
      <c r="HL41" s="95"/>
      <c r="HM41" s="95"/>
      <c r="HN41" s="95"/>
      <c r="HO41" s="95"/>
      <c r="HP41" s="95"/>
      <c r="HQ41" s="95"/>
    </row>
    <row r="42" spans="1:225" x14ac:dyDescent="0.2">
      <c r="A42" s="3" t="s">
        <v>63</v>
      </c>
      <c r="B42">
        <v>1776</v>
      </c>
      <c r="C42">
        <v>1568</v>
      </c>
      <c r="D42">
        <v>2.66</v>
      </c>
      <c r="E42">
        <v>1.78</v>
      </c>
      <c r="F42" s="2">
        <f t="shared" si="107"/>
        <v>3161.28</v>
      </c>
      <c r="G42" t="s">
        <v>11</v>
      </c>
      <c r="H42" s="20"/>
      <c r="I42" s="21"/>
      <c r="J42">
        <v>3161</v>
      </c>
      <c r="K42" s="94">
        <f t="shared" si="90"/>
        <v>6.3452159999999997</v>
      </c>
      <c r="L42" s="94">
        <v>416.14</v>
      </c>
      <c r="M42" s="94">
        <f t="shared" si="46"/>
        <v>819.59039999999993</v>
      </c>
      <c r="N42" s="95">
        <f t="shared" si="47"/>
        <v>5822396.6399999997</v>
      </c>
      <c r="O42" s="96">
        <f t="shared" si="48"/>
        <v>2275622488.7999997</v>
      </c>
      <c r="P42" s="95">
        <f t="shared" si="49"/>
        <v>4545421920</v>
      </c>
      <c r="Q42">
        <v>1.78</v>
      </c>
      <c r="R42" s="27">
        <f t="shared" si="50"/>
        <v>35701.865441280002</v>
      </c>
      <c r="S42" s="27">
        <f t="shared" si="51"/>
        <v>2341445.0012000003</v>
      </c>
      <c r="T42" s="27">
        <f t="shared" si="52"/>
        <v>4611490.9528320003</v>
      </c>
      <c r="U42">
        <f t="shared" si="53"/>
        <v>32760180486.691196</v>
      </c>
      <c r="V42" s="27">
        <f t="shared" si="54"/>
        <v>12803971983032.303</v>
      </c>
      <c r="W42" s="27">
        <f t="shared" si="55"/>
        <v>25575180066633.602</v>
      </c>
      <c r="X42" s="18"/>
      <c r="Y42">
        <v>2.3999999999999998E-3</v>
      </c>
      <c r="Z42">
        <v>0.99760000000000004</v>
      </c>
      <c r="AA42" s="94">
        <f t="shared" si="56"/>
        <v>85.684477059071995</v>
      </c>
      <c r="AB42" s="94">
        <f t="shared" si="57"/>
        <v>5619.4680028800003</v>
      </c>
      <c r="AC42" s="94">
        <f t="shared" si="58"/>
        <v>11067.578286796799</v>
      </c>
      <c r="AD42">
        <f t="shared" si="59"/>
        <v>78624433.168058857</v>
      </c>
      <c r="AE42" s="27">
        <f t="shared" si="60"/>
        <v>30729532759.277523</v>
      </c>
      <c r="AF42" s="27">
        <f t="shared" si="61"/>
        <v>61380432159.920639</v>
      </c>
      <c r="AG42" s="94">
        <f t="shared" si="62"/>
        <v>35616.180964220934</v>
      </c>
      <c r="AH42" s="94">
        <f t="shared" si="63"/>
        <v>2335825.5331971203</v>
      </c>
      <c r="AI42" s="94">
        <f t="shared" si="64"/>
        <v>4600423.3745452035</v>
      </c>
      <c r="AJ42" s="27">
        <f t="shared" si="65"/>
        <v>32681556053.52314</v>
      </c>
      <c r="AK42" s="95">
        <f t="shared" si="66"/>
        <v>12773242450273.025</v>
      </c>
      <c r="AL42" s="27">
        <f t="shared" si="67"/>
        <v>25513799634473.684</v>
      </c>
      <c r="AM42" s="27"/>
      <c r="AN42" s="27"/>
      <c r="AO42" s="27"/>
      <c r="AP42" s="27"/>
      <c r="AQ42" s="27"/>
      <c r="AR42" s="27"/>
      <c r="AT42" s="95"/>
      <c r="AU42" s="95"/>
      <c r="AV42" s="95"/>
      <c r="AW42" s="95"/>
      <c r="AX42" s="95"/>
      <c r="AY42" s="18"/>
      <c r="AZ42">
        <v>8</v>
      </c>
      <c r="BA42" s="34">
        <f t="shared" si="91"/>
        <v>9.1324200913242006E-4</v>
      </c>
      <c r="BB42" s="34">
        <f t="shared" si="92"/>
        <v>0.99908675799086755</v>
      </c>
      <c r="BC42" s="94">
        <f t="shared" si="93"/>
        <v>32.526192661388983</v>
      </c>
      <c r="BD42" s="94">
        <f t="shared" si="94"/>
        <v>16.263096330694491</v>
      </c>
      <c r="BE42" s="94">
        <f t="shared" si="95"/>
        <v>35599.917867890239</v>
      </c>
      <c r="BF42">
        <f t="shared" si="96"/>
        <v>29846169.911893278</v>
      </c>
      <c r="BG42">
        <f t="shared" si="97"/>
        <v>14923084.955946639</v>
      </c>
      <c r="BH42">
        <f t="shared" si="98"/>
        <v>32666632968.567192</v>
      </c>
      <c r="BI42" s="27"/>
      <c r="BJ42" s="27"/>
      <c r="BM42" s="94">
        <f t="shared" si="87"/>
        <v>2133.1740029197445</v>
      </c>
      <c r="BN42" s="94">
        <f t="shared" si="99"/>
        <v>1066.5870014598722</v>
      </c>
      <c r="BO42" s="94">
        <f t="shared" si="100"/>
        <v>2334758.9461956602</v>
      </c>
      <c r="BP42" s="95">
        <f t="shared" si="88"/>
        <v>11665061598.422853</v>
      </c>
      <c r="BQ42" s="95">
        <f t="shared" si="101"/>
        <v>5832530799.2114267</v>
      </c>
      <c r="BR42" s="95">
        <f t="shared" si="102"/>
        <v>12767409919473.812</v>
      </c>
      <c r="BW42" s="94">
        <f t="shared" si="89"/>
        <v>4201.2998854294092</v>
      </c>
      <c r="BX42" s="94">
        <f t="shared" si="103"/>
        <v>2100.6499427147046</v>
      </c>
      <c r="BY42" s="94">
        <f t="shared" si="104"/>
        <v>4598322.7246024888</v>
      </c>
      <c r="BZ42" s="95">
        <f t="shared" si="82"/>
        <v>23300273638.78875</v>
      </c>
      <c r="CA42" s="95">
        <f t="shared" si="105"/>
        <v>11650136819.394375</v>
      </c>
      <c r="CB42" s="95">
        <f t="shared" si="106"/>
        <v>25502149497654.289</v>
      </c>
      <c r="CG42" s="18"/>
      <c r="CN42" s="95"/>
      <c r="CR42" s="95"/>
      <c r="CT42" s="95"/>
      <c r="CV42" s="95"/>
      <c r="CX42" s="95"/>
      <c r="CZ42" s="95"/>
      <c r="DB42" s="95"/>
      <c r="DC42" s="117"/>
      <c r="DR42" s="95"/>
      <c r="DV42" s="95"/>
      <c r="DW42" s="95"/>
      <c r="DX42" s="95"/>
      <c r="ED42" s="27"/>
      <c r="EE42" s="27"/>
      <c r="EF42" s="27"/>
      <c r="EG42" s="27"/>
      <c r="FL42" s="121"/>
      <c r="GA42" s="177"/>
      <c r="GB42" s="177"/>
      <c r="GC42" s="177"/>
      <c r="GD42" s="177"/>
      <c r="GE42" s="177"/>
      <c r="GF42" s="177"/>
      <c r="GG42" s="177"/>
      <c r="GH42" s="27"/>
      <c r="GI42" s="27"/>
      <c r="GJ42" s="27"/>
      <c r="GK42" s="27"/>
      <c r="GL42" s="27"/>
      <c r="GM42" s="27"/>
      <c r="GN42" s="27"/>
      <c r="GO42" s="27"/>
      <c r="GP42" s="27"/>
      <c r="GQ42" s="27"/>
      <c r="GR42" s="27"/>
      <c r="GS42" s="177"/>
      <c r="GT42" s="177"/>
      <c r="GU42" s="177"/>
      <c r="GV42" s="177"/>
      <c r="GW42" s="177"/>
      <c r="GX42" s="177"/>
      <c r="HL42" s="95"/>
      <c r="HM42" s="95"/>
      <c r="HN42" s="95"/>
      <c r="HO42" s="95"/>
      <c r="HP42" s="95"/>
      <c r="HQ42" s="95"/>
    </row>
    <row r="43" spans="1:225" x14ac:dyDescent="0.2">
      <c r="A43" s="3" t="s">
        <v>64</v>
      </c>
      <c r="B43">
        <v>1755</v>
      </c>
      <c r="C43">
        <v>4018</v>
      </c>
      <c r="D43">
        <v>1.21</v>
      </c>
      <c r="E43">
        <v>1</v>
      </c>
      <c r="F43" s="2">
        <f t="shared" si="107"/>
        <v>1755</v>
      </c>
      <c r="G43" t="s">
        <v>11</v>
      </c>
      <c r="H43" s="20"/>
      <c r="I43" s="21"/>
      <c r="J43">
        <v>1755</v>
      </c>
      <c r="K43" s="94">
        <f t="shared" si="90"/>
        <v>6.3452159999999997</v>
      </c>
      <c r="L43" s="94">
        <v>416.14</v>
      </c>
      <c r="M43" s="94">
        <f t="shared" si="46"/>
        <v>819.59039999999993</v>
      </c>
      <c r="N43" s="95">
        <f t="shared" si="47"/>
        <v>5822396.6399999997</v>
      </c>
      <c r="O43" s="96">
        <f t="shared" si="48"/>
        <v>2275622488.7999997</v>
      </c>
      <c r="P43" s="95">
        <f t="shared" si="49"/>
        <v>4545421920</v>
      </c>
      <c r="Q43">
        <v>1</v>
      </c>
      <c r="R43" s="27">
        <f xml:space="preserve"> J43 *K42 * Q43</f>
        <v>11135.854079999999</v>
      </c>
      <c r="S43" s="27">
        <f t="shared" si="51"/>
        <v>730325.7</v>
      </c>
      <c r="T43" s="27">
        <f t="shared" si="52"/>
        <v>1438381.1519999998</v>
      </c>
      <c r="U43">
        <f t="shared" si="53"/>
        <v>10218306103.199999</v>
      </c>
      <c r="V43" s="27">
        <f t="shared" si="54"/>
        <v>3993717467843.9995</v>
      </c>
      <c r="W43" s="27">
        <f t="shared" si="55"/>
        <v>7977215469600</v>
      </c>
      <c r="X43" s="18"/>
      <c r="Y43">
        <v>2.3999999999999998E-3</v>
      </c>
      <c r="Z43">
        <v>0.99760000000000004</v>
      </c>
      <c r="AA43" s="94">
        <f t="shared" si="56"/>
        <v>26.726049791999994</v>
      </c>
      <c r="AB43" s="94">
        <f t="shared" si="57"/>
        <v>1752.7816799999998</v>
      </c>
      <c r="AC43" s="94">
        <f t="shared" si="58"/>
        <v>3452.1147647999992</v>
      </c>
      <c r="AD43">
        <f t="shared" si="59"/>
        <v>24523934.647679996</v>
      </c>
      <c r="AE43" s="27">
        <f t="shared" si="60"/>
        <v>9584921922.8255978</v>
      </c>
      <c r="AF43" s="27">
        <f t="shared" si="61"/>
        <v>19145317127.039997</v>
      </c>
      <c r="AG43" s="94">
        <f t="shared" si="62"/>
        <v>11109.128030207999</v>
      </c>
      <c r="AH43" s="94">
        <f t="shared" si="63"/>
        <v>728572.91831999994</v>
      </c>
      <c r="AI43" s="94">
        <f t="shared" si="64"/>
        <v>1434929.0372351999</v>
      </c>
      <c r="AJ43" s="27">
        <f t="shared" si="65"/>
        <v>10193782168.552319</v>
      </c>
      <c r="AK43" s="95">
        <f t="shared" si="66"/>
        <v>3984132545921.1743</v>
      </c>
      <c r="AL43" s="27">
        <f t="shared" si="67"/>
        <v>7958070152472.96</v>
      </c>
      <c r="AM43" s="27"/>
      <c r="AN43" s="27"/>
      <c r="AO43" s="27"/>
      <c r="AP43" s="27"/>
      <c r="AQ43" s="27"/>
      <c r="AR43" s="27"/>
      <c r="AT43" s="95"/>
      <c r="AU43" s="95"/>
      <c r="AV43" s="95"/>
      <c r="AW43" s="95"/>
      <c r="AX43" s="95"/>
      <c r="AY43" s="18"/>
      <c r="AZ43">
        <v>158</v>
      </c>
      <c r="BA43" s="34">
        <f t="shared" si="91"/>
        <v>1.8036529680365298E-2</v>
      </c>
      <c r="BB43" s="34">
        <f t="shared" si="92"/>
        <v>0.98196347031963471</v>
      </c>
      <c r="BC43" s="94">
        <f t="shared" si="93"/>
        <v>200.37011743982467</v>
      </c>
      <c r="BD43" s="94">
        <f t="shared" si="94"/>
        <v>100.18505871991233</v>
      </c>
      <c r="BE43" s="94">
        <f t="shared" si="95"/>
        <v>11008.942971488086</v>
      </c>
      <c r="BF43">
        <f t="shared" si="96"/>
        <v>183860454.63827243</v>
      </c>
      <c r="BG43">
        <f t="shared" si="97"/>
        <v>91930227.319136217</v>
      </c>
      <c r="BH43">
        <f t="shared" si="98"/>
        <v>10101851941.233181</v>
      </c>
      <c r="BI43" s="27"/>
      <c r="BJ43" s="27"/>
      <c r="BM43" s="94">
        <f t="shared" si="87"/>
        <v>13140.927065589041</v>
      </c>
      <c r="BN43" s="94">
        <f t="shared" si="99"/>
        <v>6570.4635327945207</v>
      </c>
      <c r="BO43" s="94">
        <f t="shared" si="100"/>
        <v>722002.45478720544</v>
      </c>
      <c r="BP43" s="95">
        <f t="shared" si="88"/>
        <v>71859924915.016617</v>
      </c>
      <c r="BQ43" s="95">
        <f t="shared" si="101"/>
        <v>35929962457.508308</v>
      </c>
      <c r="BR43" s="95">
        <f t="shared" si="102"/>
        <v>3948202583463.666</v>
      </c>
      <c r="BW43" s="94">
        <f t="shared" si="89"/>
        <v>25881.140169310685</v>
      </c>
      <c r="BX43" s="94">
        <f t="shared" si="103"/>
        <v>12940.570084655343</v>
      </c>
      <c r="BY43" s="94">
        <f t="shared" si="104"/>
        <v>1421988.4671505447</v>
      </c>
      <c r="BZ43" s="95">
        <f t="shared" si="82"/>
        <v>143535968503.50772</v>
      </c>
      <c r="CA43" s="95">
        <f t="shared" si="105"/>
        <v>71767984251.75386</v>
      </c>
      <c r="CB43" s="95">
        <f t="shared" si="106"/>
        <v>7886302168221.2061</v>
      </c>
      <c r="CG43" s="18"/>
      <c r="CN43" s="95"/>
      <c r="CR43" s="95"/>
      <c r="CT43" s="95"/>
      <c r="CV43" s="95"/>
      <c r="CX43" s="95"/>
      <c r="CZ43" s="95"/>
      <c r="DB43" s="95"/>
      <c r="DC43" s="117"/>
      <c r="DR43" s="95"/>
      <c r="DV43" s="95"/>
      <c r="DW43" s="95"/>
      <c r="DX43" s="95"/>
      <c r="ED43" s="27"/>
      <c r="EE43" s="27"/>
      <c r="EF43" s="27"/>
      <c r="EG43" s="27"/>
      <c r="FL43" s="121"/>
      <c r="GA43" s="177"/>
      <c r="GB43" s="177"/>
      <c r="GC43" s="177"/>
      <c r="GD43" s="177"/>
      <c r="GE43" s="177"/>
      <c r="GF43" s="177"/>
      <c r="GG43" s="177"/>
      <c r="GH43" s="27"/>
      <c r="GI43" s="27"/>
      <c r="GJ43" s="27"/>
      <c r="GK43" s="27"/>
      <c r="GL43" s="27"/>
      <c r="GM43" s="27"/>
      <c r="GN43" s="27"/>
      <c r="GO43" s="27"/>
      <c r="GP43" s="27"/>
      <c r="GQ43" s="27"/>
      <c r="GR43" s="27"/>
      <c r="GS43" s="177"/>
      <c r="GT43" s="177"/>
      <c r="GU43" s="177"/>
      <c r="GV43" s="177"/>
      <c r="GW43" s="177"/>
      <c r="GX43" s="177"/>
      <c r="HL43" s="95"/>
      <c r="HM43" s="95"/>
      <c r="HN43" s="95"/>
      <c r="HO43" s="95"/>
      <c r="HP43" s="95"/>
      <c r="HQ43" s="95"/>
    </row>
    <row r="44" spans="1:225" x14ac:dyDescent="0.2">
      <c r="A44" s="3" t="s">
        <v>65</v>
      </c>
      <c r="B44">
        <v>1894</v>
      </c>
      <c r="C44">
        <v>4029</v>
      </c>
      <c r="D44">
        <v>2.13</v>
      </c>
      <c r="E44">
        <v>1.1599999999999999</v>
      </c>
      <c r="F44" s="2">
        <f t="shared" si="107"/>
        <v>2197.04</v>
      </c>
      <c r="G44" t="s">
        <v>11</v>
      </c>
      <c r="H44" s="20"/>
      <c r="I44" s="21"/>
      <c r="J44">
        <v>2197</v>
      </c>
      <c r="K44" s="94">
        <f t="shared" si="90"/>
        <v>6.3452159999999997</v>
      </c>
      <c r="L44" s="94">
        <v>416.14</v>
      </c>
      <c r="M44" s="94">
        <f t="shared" si="46"/>
        <v>819.59039999999993</v>
      </c>
      <c r="N44" s="95">
        <f t="shared" si="47"/>
        <v>5822396.6399999997</v>
      </c>
      <c r="O44" s="96">
        <f t="shared" si="48"/>
        <v>2275622488.7999997</v>
      </c>
      <c r="P44" s="95">
        <f t="shared" si="49"/>
        <v>4545421920</v>
      </c>
      <c r="Q44">
        <v>1.1599999999999999</v>
      </c>
      <c r="R44" s="27">
        <f t="shared" ref="R44:R51" si="108" xml:space="preserve"> J44 * K44 * Q44</f>
        <v>16170.90988032</v>
      </c>
      <c r="S44" s="27">
        <f t="shared" si="51"/>
        <v>1060541.1127999998</v>
      </c>
      <c r="T44" s="27">
        <f t="shared" si="52"/>
        <v>2088742.5262079996</v>
      </c>
      <c r="U44">
        <f t="shared" si="53"/>
        <v>14838494284.972799</v>
      </c>
      <c r="V44" s="27">
        <f t="shared" si="54"/>
        <v>5799469425156.5752</v>
      </c>
      <c r="W44" s="27">
        <f t="shared" si="55"/>
        <v>11584098671558.398</v>
      </c>
      <c r="X44" s="18"/>
      <c r="Y44">
        <v>2.3999999999999998E-3</v>
      </c>
      <c r="Z44">
        <v>0.99760000000000004</v>
      </c>
      <c r="AA44" s="94">
        <f t="shared" si="56"/>
        <v>38.810183712767994</v>
      </c>
      <c r="AB44" s="94">
        <f t="shared" si="57"/>
        <v>2545.2986707199993</v>
      </c>
      <c r="AC44" s="94">
        <f t="shared" si="58"/>
        <v>5012.9820628991984</v>
      </c>
      <c r="AD44">
        <f t="shared" si="59"/>
        <v>35612386.283934712</v>
      </c>
      <c r="AE44" s="27">
        <f t="shared" si="60"/>
        <v>13918726620.37578</v>
      </c>
      <c r="AF44" s="27">
        <f t="shared" si="61"/>
        <v>27801836811.740154</v>
      </c>
      <c r="AG44" s="94">
        <f t="shared" si="62"/>
        <v>16132.099696607233</v>
      </c>
      <c r="AH44" s="94">
        <f t="shared" si="63"/>
        <v>1057995.8141292799</v>
      </c>
      <c r="AI44" s="94">
        <f t="shared" si="64"/>
        <v>2083729.5441451005</v>
      </c>
      <c r="AJ44" s="27">
        <f t="shared" si="65"/>
        <v>14802881898.688866</v>
      </c>
      <c r="AK44" s="95">
        <f t="shared" si="66"/>
        <v>5785550698536.1992</v>
      </c>
      <c r="AL44" s="27">
        <f t="shared" si="67"/>
        <v>11556296834746.658</v>
      </c>
      <c r="AM44" s="27"/>
      <c r="AN44" s="27"/>
      <c r="AO44" s="27"/>
      <c r="AP44" s="27"/>
      <c r="AQ44" s="27"/>
      <c r="AR44" s="27"/>
      <c r="AT44" s="95"/>
      <c r="AU44" s="95"/>
      <c r="AV44" s="95"/>
      <c r="AW44" s="95"/>
      <c r="AX44" s="95"/>
      <c r="AY44" s="18"/>
      <c r="AZ44">
        <v>584</v>
      </c>
      <c r="BA44" s="34">
        <f t="shared" si="91"/>
        <v>6.6666666666666666E-2</v>
      </c>
      <c r="BB44" s="34">
        <f t="shared" si="92"/>
        <v>0.93333333333333335</v>
      </c>
      <c r="BC44" s="94">
        <f t="shared" si="93"/>
        <v>1075.4733131071489</v>
      </c>
      <c r="BD44" s="94">
        <f t="shared" si="94"/>
        <v>537.73665655357445</v>
      </c>
      <c r="BE44" s="94">
        <f t="shared" si="95"/>
        <v>15594.363040053659</v>
      </c>
      <c r="BF44">
        <f t="shared" si="96"/>
        <v>986858793.24592435</v>
      </c>
      <c r="BG44">
        <f t="shared" si="97"/>
        <v>493429396.62296218</v>
      </c>
      <c r="BH44">
        <f t="shared" si="98"/>
        <v>14309452502.065905</v>
      </c>
      <c r="BI44" s="27"/>
      <c r="BJ44" s="27"/>
      <c r="BM44" s="94">
        <f t="shared" si="87"/>
        <v>70533.054275285322</v>
      </c>
      <c r="BN44" s="94">
        <f t="shared" si="99"/>
        <v>35266.527137642661</v>
      </c>
      <c r="BO44" s="94">
        <f t="shared" si="100"/>
        <v>1022729.2869916372</v>
      </c>
      <c r="BP44" s="95">
        <f t="shared" si="88"/>
        <v>385703379902.41327</v>
      </c>
      <c r="BQ44" s="95">
        <f t="shared" si="101"/>
        <v>192851689951.20663</v>
      </c>
      <c r="BR44" s="95">
        <f t="shared" si="102"/>
        <v>5592699008584.9932</v>
      </c>
      <c r="BW44" s="94">
        <f t="shared" si="89"/>
        <v>138915.30294300671</v>
      </c>
      <c r="BX44" s="94">
        <f t="shared" si="103"/>
        <v>69457.651471503355</v>
      </c>
      <c r="BY44" s="94">
        <f t="shared" si="104"/>
        <v>2014271.8926735972</v>
      </c>
      <c r="BZ44" s="95">
        <f t="shared" si="82"/>
        <v>770419788983.1106</v>
      </c>
      <c r="CA44" s="95">
        <f t="shared" si="105"/>
        <v>385209894491.5553</v>
      </c>
      <c r="CB44" s="95">
        <f t="shared" si="106"/>
        <v>11171086940255.102</v>
      </c>
      <c r="CG44" s="18"/>
      <c r="CN44" s="95"/>
      <c r="CR44" s="95"/>
      <c r="CT44" s="95"/>
      <c r="CV44" s="95"/>
      <c r="CX44" s="95"/>
      <c r="CZ44" s="95"/>
      <c r="DB44" s="95"/>
      <c r="DC44" s="117"/>
      <c r="DR44" s="95"/>
      <c r="DV44" s="95"/>
      <c r="DW44" s="95"/>
      <c r="DX44" s="95"/>
      <c r="ED44" s="27"/>
      <c r="EE44" s="27"/>
      <c r="EF44" s="27"/>
      <c r="EG44" s="27"/>
      <c r="FL44" s="121"/>
      <c r="GA44" s="177"/>
      <c r="GB44" s="177"/>
      <c r="GC44" s="177"/>
      <c r="GD44" s="177"/>
      <c r="GE44" s="177"/>
      <c r="GF44" s="177"/>
      <c r="GG44" s="177"/>
      <c r="GH44" s="27"/>
      <c r="GI44" s="27"/>
      <c r="GJ44" s="27"/>
      <c r="GK44" s="27"/>
      <c r="GL44" s="27"/>
      <c r="GM44" s="27"/>
      <c r="GN44" s="27"/>
      <c r="GO44" s="27"/>
      <c r="GP44" s="27"/>
      <c r="GQ44" s="27"/>
      <c r="GR44" s="27"/>
      <c r="GS44" s="177"/>
      <c r="GT44" s="177"/>
      <c r="GU44" s="177"/>
      <c r="GV44" s="177"/>
      <c r="GW44" s="177"/>
      <c r="GX44" s="177"/>
      <c r="HL44" s="95"/>
      <c r="HM44" s="95"/>
      <c r="HN44" s="95"/>
      <c r="HO44" s="95"/>
      <c r="HP44" s="95"/>
      <c r="HQ44" s="95"/>
    </row>
    <row r="45" spans="1:225" x14ac:dyDescent="0.2">
      <c r="A45" s="3" t="s">
        <v>66</v>
      </c>
      <c r="B45">
        <v>1656</v>
      </c>
      <c r="C45">
        <v>957</v>
      </c>
      <c r="D45">
        <v>2.15</v>
      </c>
      <c r="E45">
        <v>1</v>
      </c>
      <c r="F45" s="2">
        <f t="shared" si="107"/>
        <v>1656</v>
      </c>
      <c r="G45" t="s">
        <v>11</v>
      </c>
      <c r="H45" s="20"/>
      <c r="I45" s="21"/>
      <c r="J45">
        <v>1656</v>
      </c>
      <c r="K45" s="94">
        <f t="shared" si="90"/>
        <v>6.3452159999999997</v>
      </c>
      <c r="L45" s="94">
        <v>416.14</v>
      </c>
      <c r="M45" s="94">
        <f t="shared" si="46"/>
        <v>819.59039999999993</v>
      </c>
      <c r="N45" s="95">
        <f t="shared" si="47"/>
        <v>5822396.6399999997</v>
      </c>
      <c r="O45" s="96">
        <f t="shared" si="48"/>
        <v>2275622488.7999997</v>
      </c>
      <c r="P45" s="95">
        <f t="shared" si="49"/>
        <v>4545421920</v>
      </c>
      <c r="Q45">
        <v>1</v>
      </c>
      <c r="R45" s="27">
        <f t="shared" si="108"/>
        <v>10507.677695999999</v>
      </c>
      <c r="S45" s="27">
        <f t="shared" si="51"/>
        <v>689127.84</v>
      </c>
      <c r="T45" s="27">
        <f t="shared" si="52"/>
        <v>1357241.7023999998</v>
      </c>
      <c r="U45">
        <f t="shared" si="53"/>
        <v>9641888835.8400002</v>
      </c>
      <c r="V45" s="27">
        <f t="shared" si="54"/>
        <v>3768430841452.7993</v>
      </c>
      <c r="W45" s="27">
        <f t="shared" si="55"/>
        <v>7527218699520</v>
      </c>
      <c r="X45" s="18"/>
      <c r="Y45">
        <v>2.3999999999999998E-3</v>
      </c>
      <c r="Z45">
        <v>0.99760000000000004</v>
      </c>
      <c r="AA45" s="94">
        <f t="shared" si="56"/>
        <v>25.218426470399994</v>
      </c>
      <c r="AB45" s="94">
        <f t="shared" si="57"/>
        <v>1653.9068159999997</v>
      </c>
      <c r="AC45" s="94">
        <f t="shared" si="58"/>
        <v>3257.3800857599995</v>
      </c>
      <c r="AD45">
        <f t="shared" si="59"/>
        <v>23140533.206015997</v>
      </c>
      <c r="AE45" s="27">
        <f t="shared" si="60"/>
        <v>9044234019.4867172</v>
      </c>
      <c r="AF45" s="27">
        <f t="shared" si="61"/>
        <v>18065324878.848</v>
      </c>
      <c r="AG45" s="94">
        <f t="shared" si="62"/>
        <v>10482.4592695296</v>
      </c>
      <c r="AH45" s="94">
        <f t="shared" si="63"/>
        <v>687473.93318399996</v>
      </c>
      <c r="AI45" s="94">
        <f t="shared" si="64"/>
        <v>1353984.3223142398</v>
      </c>
      <c r="AJ45" s="27">
        <f t="shared" si="65"/>
        <v>9618748302.6339836</v>
      </c>
      <c r="AK45" s="95">
        <f t="shared" si="66"/>
        <v>3759386607433.313</v>
      </c>
      <c r="AL45" s="27">
        <f t="shared" si="67"/>
        <v>7509153374641.1523</v>
      </c>
      <c r="AM45" s="27"/>
      <c r="AN45" s="27"/>
      <c r="AO45" s="27"/>
      <c r="AP45" s="27"/>
      <c r="AQ45" s="27"/>
      <c r="AR45" s="27"/>
      <c r="AT45" s="95"/>
      <c r="AU45" s="95"/>
      <c r="AV45" s="95"/>
      <c r="AW45" s="95"/>
      <c r="AX45" s="95"/>
      <c r="AY45" s="18"/>
      <c r="AZ45">
        <v>0</v>
      </c>
      <c r="BA45" s="34">
        <f t="shared" si="91"/>
        <v>0</v>
      </c>
      <c r="BB45" s="34">
        <f t="shared" si="92"/>
        <v>1</v>
      </c>
      <c r="BC45" s="94">
        <f t="shared" si="93"/>
        <v>0</v>
      </c>
      <c r="BD45" s="94">
        <f t="shared" si="94"/>
        <v>0</v>
      </c>
      <c r="BE45" s="94">
        <f t="shared" si="95"/>
        <v>10482.4592695296</v>
      </c>
      <c r="BF45">
        <f t="shared" si="96"/>
        <v>0</v>
      </c>
      <c r="BG45">
        <f t="shared" si="97"/>
        <v>0</v>
      </c>
      <c r="BH45">
        <f t="shared" si="98"/>
        <v>9618748302.6339836</v>
      </c>
      <c r="BI45" s="27"/>
      <c r="BJ45" s="27"/>
      <c r="BM45" s="94">
        <f t="shared" si="87"/>
        <v>0</v>
      </c>
      <c r="BN45" s="94">
        <f t="shared" si="99"/>
        <v>0</v>
      </c>
      <c r="BO45" s="94">
        <f t="shared" si="100"/>
        <v>687473.93318399996</v>
      </c>
      <c r="BP45" s="95">
        <f t="shared" si="88"/>
        <v>0</v>
      </c>
      <c r="BQ45" s="95">
        <f t="shared" si="101"/>
        <v>0</v>
      </c>
      <c r="BR45" s="95">
        <f t="shared" si="102"/>
        <v>3759386607433.313</v>
      </c>
      <c r="BW45" s="94">
        <f t="shared" si="89"/>
        <v>0</v>
      </c>
      <c r="BX45" s="94">
        <f t="shared" si="103"/>
        <v>0</v>
      </c>
      <c r="BY45" s="94">
        <f t="shared" si="104"/>
        <v>1353984.3223142398</v>
      </c>
      <c r="BZ45" s="95">
        <f t="shared" si="82"/>
        <v>0</v>
      </c>
      <c r="CA45" s="95">
        <f t="shared" si="105"/>
        <v>0</v>
      </c>
      <c r="CB45" s="95">
        <f t="shared" si="106"/>
        <v>7509153374641.1523</v>
      </c>
      <c r="CG45" s="18"/>
      <c r="CN45" s="95"/>
      <c r="CR45" s="95"/>
      <c r="CT45" s="95"/>
      <c r="CV45" s="95"/>
      <c r="CX45" s="95"/>
      <c r="CZ45" s="95"/>
      <c r="DB45" s="95"/>
      <c r="DC45" s="117"/>
      <c r="DR45" s="95"/>
      <c r="DV45" s="95"/>
      <c r="DW45" s="95"/>
      <c r="DX45" s="95"/>
      <c r="ED45" s="27"/>
      <c r="EE45" s="27"/>
      <c r="EF45" s="27"/>
      <c r="EG45" s="27"/>
      <c r="FL45" s="121"/>
      <c r="GA45" s="177"/>
      <c r="GB45" s="177"/>
      <c r="GC45" s="177"/>
      <c r="GD45" s="177"/>
      <c r="GE45" s="177"/>
      <c r="GF45" s="177"/>
      <c r="GG45" s="177"/>
      <c r="GH45" s="27"/>
      <c r="GI45" s="27"/>
      <c r="GJ45" s="27"/>
      <c r="GK45" s="27"/>
      <c r="GL45" s="27"/>
      <c r="GM45" s="27"/>
      <c r="GN45" s="27"/>
      <c r="GO45" s="27"/>
      <c r="GP45" s="27"/>
      <c r="GQ45" s="27"/>
      <c r="GR45" s="27"/>
      <c r="GS45" s="177"/>
      <c r="GT45" s="177"/>
      <c r="GU45" s="177"/>
      <c r="GV45" s="177"/>
      <c r="GW45" s="177"/>
      <c r="GX45" s="177"/>
      <c r="HL45" s="95"/>
      <c r="HM45" s="95"/>
      <c r="HN45" s="95"/>
      <c r="HO45" s="95"/>
      <c r="HP45" s="95"/>
      <c r="HQ45" s="95"/>
    </row>
    <row r="46" spans="1:225" x14ac:dyDescent="0.2">
      <c r="A46" s="3" t="s">
        <v>67</v>
      </c>
      <c r="B46">
        <v>1299</v>
      </c>
      <c r="C46">
        <v>6774</v>
      </c>
      <c r="D46">
        <v>0.09</v>
      </c>
      <c r="E46">
        <v>0.13</v>
      </c>
      <c r="F46" s="2">
        <f t="shared" si="107"/>
        <v>168.87</v>
      </c>
      <c r="G46" t="s">
        <v>11</v>
      </c>
      <c r="H46" s="20"/>
      <c r="I46" s="21"/>
      <c r="J46">
        <v>169</v>
      </c>
      <c r="K46" s="94">
        <f t="shared" si="90"/>
        <v>6.3452159999999997</v>
      </c>
      <c r="L46" s="94">
        <v>416.14</v>
      </c>
      <c r="M46" s="94">
        <f t="shared" si="46"/>
        <v>819.59039999999993</v>
      </c>
      <c r="N46" s="95">
        <f t="shared" si="47"/>
        <v>5822396.6399999997</v>
      </c>
      <c r="O46" s="96">
        <f t="shared" si="48"/>
        <v>2275622488.7999997</v>
      </c>
      <c r="P46" s="95">
        <f t="shared" si="49"/>
        <v>4545421920</v>
      </c>
      <c r="Q46">
        <v>0.13</v>
      </c>
      <c r="R46" s="27">
        <f t="shared" si="108"/>
        <v>139.40439552000001</v>
      </c>
      <c r="S46" s="27">
        <f t="shared" si="51"/>
        <v>9142.595800000001</v>
      </c>
      <c r="T46" s="27">
        <f t="shared" si="52"/>
        <v>18006.401088000002</v>
      </c>
      <c r="U46">
        <f t="shared" si="53"/>
        <v>127918054.18080001</v>
      </c>
      <c r="V46" s="27">
        <f t="shared" si="54"/>
        <v>49995426078.935997</v>
      </c>
      <c r="W46" s="27">
        <f t="shared" si="55"/>
        <v>99862919582.400009</v>
      </c>
      <c r="X46" s="18"/>
      <c r="Y46">
        <v>2.3999999999999998E-3</v>
      </c>
      <c r="Z46">
        <v>0.99760000000000004</v>
      </c>
      <c r="AA46" s="94">
        <f t="shared" si="56"/>
        <v>0.334570549248</v>
      </c>
      <c r="AB46" s="94">
        <f t="shared" si="57"/>
        <v>21.942229919999999</v>
      </c>
      <c r="AC46" s="94">
        <f t="shared" si="58"/>
        <v>43.2153626112</v>
      </c>
      <c r="AD46">
        <f t="shared" si="59"/>
        <v>307003.33003392001</v>
      </c>
      <c r="AE46" s="27">
        <f t="shared" si="60"/>
        <v>119989022.58944638</v>
      </c>
      <c r="AF46" s="27">
        <f t="shared" si="61"/>
        <v>239671006.99776</v>
      </c>
      <c r="AG46" s="94">
        <f t="shared" si="62"/>
        <v>139.06982497075202</v>
      </c>
      <c r="AH46" s="94">
        <f t="shared" si="63"/>
        <v>9120.6535700800014</v>
      </c>
      <c r="AI46" s="94">
        <f t="shared" si="64"/>
        <v>17963.185725388805</v>
      </c>
      <c r="AJ46" s="27">
        <f t="shared" si="65"/>
        <v>127611050.85076609</v>
      </c>
      <c r="AK46" s="95">
        <f t="shared" si="66"/>
        <v>49875437056.34655</v>
      </c>
      <c r="AL46" s="27">
        <f t="shared" si="67"/>
        <v>99623248575.402252</v>
      </c>
      <c r="AM46" s="27"/>
      <c r="AN46" s="27"/>
      <c r="AO46" s="27"/>
      <c r="AP46" s="27"/>
      <c r="AQ46" s="27"/>
      <c r="AR46" s="27"/>
      <c r="AT46" s="95"/>
      <c r="AU46" s="95"/>
      <c r="AV46" s="95"/>
      <c r="AW46" s="95"/>
      <c r="AX46" s="95"/>
      <c r="AY46" s="18"/>
      <c r="AZ46">
        <v>320</v>
      </c>
      <c r="BA46" s="34">
        <f t="shared" si="91"/>
        <v>3.6529680365296802E-2</v>
      </c>
      <c r="BB46" s="34">
        <f t="shared" si="92"/>
        <v>0.9634703196347032</v>
      </c>
      <c r="BC46" s="94">
        <f t="shared" si="93"/>
        <v>5.0801762546393432</v>
      </c>
      <c r="BD46" s="94">
        <f t="shared" si="94"/>
        <v>2.5400881273196716</v>
      </c>
      <c r="BE46" s="94">
        <f t="shared" si="95"/>
        <v>136.52973684343235</v>
      </c>
      <c r="BF46">
        <f t="shared" si="96"/>
        <v>4661590.8986581219</v>
      </c>
      <c r="BG46">
        <f t="shared" si="97"/>
        <v>2330795.449329061</v>
      </c>
      <c r="BH46">
        <f t="shared" si="98"/>
        <v>125280255.40143703</v>
      </c>
      <c r="BI46" s="27"/>
      <c r="BJ46" s="27"/>
      <c r="BM46" s="94">
        <f t="shared" si="87"/>
        <v>333.17455963762558</v>
      </c>
      <c r="BN46" s="94">
        <f t="shared" si="99"/>
        <v>166.58727981881279</v>
      </c>
      <c r="BO46" s="94">
        <f t="shared" si="100"/>
        <v>8954.0662902611875</v>
      </c>
      <c r="BP46" s="95">
        <f t="shared" si="88"/>
        <v>1821933773.7478192</v>
      </c>
      <c r="BQ46" s="95">
        <f t="shared" si="101"/>
        <v>910966886.87390959</v>
      </c>
      <c r="BR46" s="95">
        <f t="shared" si="102"/>
        <v>48964470169.472641</v>
      </c>
      <c r="BW46" s="94">
        <f t="shared" si="89"/>
        <v>656.18943289091521</v>
      </c>
      <c r="BX46" s="94">
        <f t="shared" si="103"/>
        <v>328.09471644545761</v>
      </c>
      <c r="BY46" s="94">
        <f t="shared" si="104"/>
        <v>17635.091008943349</v>
      </c>
      <c r="BZ46" s="95">
        <f t="shared" si="82"/>
        <v>3639205427.4119544</v>
      </c>
      <c r="CA46" s="95">
        <f t="shared" si="105"/>
        <v>1819602713.7059772</v>
      </c>
      <c r="CB46" s="95">
        <f t="shared" si="106"/>
        <v>97803645861.696274</v>
      </c>
      <c r="CG46" s="18"/>
      <c r="CN46" s="95"/>
      <c r="CR46" s="95"/>
      <c r="CT46" s="95"/>
      <c r="CV46" s="95"/>
      <c r="CX46" s="95"/>
      <c r="CZ46" s="95"/>
      <c r="DB46" s="95"/>
      <c r="DC46" s="117"/>
      <c r="DR46" s="95"/>
      <c r="DV46" s="95"/>
      <c r="DW46" s="95"/>
      <c r="DX46" s="95"/>
      <c r="ED46" s="27"/>
      <c r="EE46" s="27"/>
      <c r="EF46" s="27"/>
      <c r="EG46" s="27"/>
      <c r="FL46" s="121"/>
      <c r="GA46" s="177"/>
      <c r="GB46" s="177"/>
      <c r="GC46" s="177"/>
      <c r="GD46" s="177"/>
      <c r="GE46" s="177"/>
      <c r="GF46" s="177"/>
      <c r="GG46" s="177"/>
      <c r="GH46" s="27"/>
      <c r="GI46" s="27"/>
      <c r="GJ46" s="27"/>
      <c r="GK46" s="27"/>
      <c r="GL46" s="27"/>
      <c r="GM46" s="27"/>
      <c r="GN46" s="27"/>
      <c r="GO46" s="27"/>
      <c r="GP46" s="27"/>
      <c r="GQ46" s="27"/>
      <c r="GR46" s="27"/>
      <c r="GS46" s="177"/>
      <c r="GT46" s="177"/>
      <c r="GU46" s="177"/>
      <c r="GV46" s="177"/>
      <c r="GW46" s="177"/>
      <c r="GX46" s="177"/>
      <c r="HL46" s="95"/>
      <c r="HM46" s="95"/>
      <c r="HN46" s="95"/>
      <c r="HO46" s="95"/>
      <c r="HP46" s="95"/>
      <c r="HQ46" s="95"/>
    </row>
    <row r="47" spans="1:225" x14ac:dyDescent="0.2">
      <c r="A47" s="3" t="s">
        <v>68</v>
      </c>
      <c r="B47">
        <v>1300</v>
      </c>
      <c r="C47">
        <v>6063</v>
      </c>
      <c r="D47">
        <v>0.17</v>
      </c>
      <c r="E47">
        <v>0.18</v>
      </c>
      <c r="F47" s="2">
        <f t="shared" si="107"/>
        <v>234</v>
      </c>
      <c r="G47" t="s">
        <v>11</v>
      </c>
      <c r="H47" s="20"/>
      <c r="I47" s="21"/>
      <c r="J47">
        <v>234</v>
      </c>
      <c r="K47" s="94">
        <f t="shared" si="90"/>
        <v>6.3452159999999997</v>
      </c>
      <c r="L47" s="94">
        <v>416.14</v>
      </c>
      <c r="M47" s="94">
        <f t="shared" si="46"/>
        <v>819.59039999999993</v>
      </c>
      <c r="N47" s="95">
        <f t="shared" si="47"/>
        <v>5822396.6399999997</v>
      </c>
      <c r="O47" s="96">
        <f t="shared" si="48"/>
        <v>2275622488.7999997</v>
      </c>
      <c r="P47" s="95">
        <f t="shared" si="49"/>
        <v>4545421920</v>
      </c>
      <c r="Q47">
        <v>0.18</v>
      </c>
      <c r="R47" s="27">
        <f t="shared" si="108"/>
        <v>267.26049791999998</v>
      </c>
      <c r="S47" s="27">
        <f t="shared" si="51"/>
        <v>17527.816799999997</v>
      </c>
      <c r="T47" s="27">
        <f t="shared" si="52"/>
        <v>34521.147647999998</v>
      </c>
      <c r="U47">
        <f t="shared" si="53"/>
        <v>245239346.47679999</v>
      </c>
      <c r="V47" s="27">
        <f t="shared" si="54"/>
        <v>95849219228.255981</v>
      </c>
      <c r="W47" s="27">
        <f t="shared" si="55"/>
        <v>191453171270.39999</v>
      </c>
      <c r="X47" s="18"/>
      <c r="Y47">
        <v>2.3999999999999998E-3</v>
      </c>
      <c r="Z47">
        <v>0.99760000000000004</v>
      </c>
      <c r="AA47" s="94">
        <f t="shared" si="56"/>
        <v>0.64142519500799988</v>
      </c>
      <c r="AB47" s="94">
        <f t="shared" si="57"/>
        <v>42.066760319999986</v>
      </c>
      <c r="AC47" s="94">
        <f t="shared" si="58"/>
        <v>82.850754355199982</v>
      </c>
      <c r="AD47">
        <f t="shared" si="59"/>
        <v>588574.43154431996</v>
      </c>
      <c r="AE47" s="27">
        <f t="shared" si="60"/>
        <v>230038126.14781433</v>
      </c>
      <c r="AF47" s="27">
        <f t="shared" si="61"/>
        <v>459487611.04895997</v>
      </c>
      <c r="AG47" s="94">
        <f t="shared" si="62"/>
        <v>266.61907272499201</v>
      </c>
      <c r="AH47" s="94">
        <f t="shared" si="63"/>
        <v>17485.750039679999</v>
      </c>
      <c r="AI47" s="94">
        <f t="shared" si="64"/>
        <v>34438.296893644801</v>
      </c>
      <c r="AJ47" s="27">
        <f t="shared" si="65"/>
        <v>244650772.04525569</v>
      </c>
      <c r="AK47" s="95">
        <f t="shared" si="66"/>
        <v>95619181102.10817</v>
      </c>
      <c r="AL47" s="27">
        <f t="shared" si="67"/>
        <v>190993683659.35104</v>
      </c>
      <c r="AM47" s="27"/>
      <c r="AN47" s="27"/>
      <c r="AO47" s="27"/>
      <c r="AP47" s="27"/>
      <c r="AQ47" s="27"/>
      <c r="AR47" s="27"/>
      <c r="AT47" s="95"/>
      <c r="AU47" s="95"/>
      <c r="AV47" s="95"/>
      <c r="AW47" s="95"/>
      <c r="AX47" s="95"/>
      <c r="AY47" s="18"/>
      <c r="AZ47">
        <v>2</v>
      </c>
      <c r="BA47" s="34">
        <f t="shared" si="91"/>
        <v>2.2831050228310502E-4</v>
      </c>
      <c r="BB47" s="34">
        <f t="shared" si="92"/>
        <v>0.99977168949771689</v>
      </c>
      <c r="BC47" s="94">
        <f t="shared" si="93"/>
        <v>6.0871934412098629E-2</v>
      </c>
      <c r="BD47" s="94">
        <f t="shared" si="94"/>
        <v>3.0435967206049314E-2</v>
      </c>
      <c r="BE47" s="94">
        <f t="shared" si="95"/>
        <v>266.58863675778599</v>
      </c>
      <c r="BF47">
        <f t="shared" si="96"/>
        <v>55856.340649601756</v>
      </c>
      <c r="BG47">
        <f t="shared" si="97"/>
        <v>27928.170324800878</v>
      </c>
      <c r="BH47">
        <f t="shared" si="98"/>
        <v>244622843.87493089</v>
      </c>
      <c r="BI47" s="27"/>
      <c r="BJ47" s="27"/>
      <c r="BM47" s="94">
        <f t="shared" si="87"/>
        <v>3.9921803743561641</v>
      </c>
      <c r="BN47" s="94">
        <f t="shared" si="99"/>
        <v>1.9960901871780821</v>
      </c>
      <c r="BO47" s="94">
        <f t="shared" si="100"/>
        <v>17483.753949492821</v>
      </c>
      <c r="BP47" s="95">
        <f t="shared" si="88"/>
        <v>21830863.265321501</v>
      </c>
      <c r="BQ47" s="95">
        <f t="shared" si="101"/>
        <v>10915431.63266075</v>
      </c>
      <c r="BR47" s="95">
        <f t="shared" si="102"/>
        <v>95608265670.47551</v>
      </c>
      <c r="BW47" s="94">
        <f t="shared" si="89"/>
        <v>7.8626248615627397</v>
      </c>
      <c r="BX47" s="94">
        <f t="shared" si="103"/>
        <v>3.9313124307813698</v>
      </c>
      <c r="BY47" s="94">
        <f t="shared" si="104"/>
        <v>34434.36558121402</v>
      </c>
      <c r="BZ47" s="95">
        <f t="shared" si="82"/>
        <v>43605863.8491669</v>
      </c>
      <c r="CA47" s="95">
        <f t="shared" si="105"/>
        <v>21802931.92458345</v>
      </c>
      <c r="CB47" s="95">
        <f t="shared" si="106"/>
        <v>190971880727.42645</v>
      </c>
      <c r="CG47" s="18"/>
      <c r="CN47" s="95"/>
      <c r="CR47" s="95"/>
      <c r="CT47" s="95"/>
      <c r="CV47" s="95"/>
      <c r="CX47" s="95"/>
      <c r="CZ47" s="95"/>
      <c r="DB47" s="95"/>
      <c r="DC47" s="117"/>
      <c r="DR47" s="95"/>
      <c r="DV47" s="95"/>
      <c r="DW47" s="95"/>
      <c r="DX47" s="95"/>
      <c r="ED47" s="27"/>
      <c r="EE47" s="27"/>
      <c r="EF47" s="27"/>
      <c r="EG47" s="27"/>
      <c r="FL47" s="121"/>
      <c r="GA47" s="177"/>
      <c r="GB47" s="177"/>
      <c r="GC47" s="177"/>
      <c r="GD47" s="177"/>
      <c r="GE47" s="177"/>
      <c r="GF47" s="177"/>
      <c r="GG47" s="177"/>
      <c r="GH47" s="27"/>
      <c r="GI47" s="27"/>
      <c r="GJ47" s="27"/>
      <c r="GK47" s="27"/>
      <c r="GL47" s="27"/>
      <c r="GM47" s="27"/>
      <c r="GN47" s="27"/>
      <c r="GO47" s="27"/>
      <c r="GP47" s="27"/>
      <c r="GQ47" s="27"/>
      <c r="GR47" s="27"/>
      <c r="GS47" s="177"/>
      <c r="GT47" s="177"/>
      <c r="GU47" s="177"/>
      <c r="GV47" s="177"/>
      <c r="GW47" s="177"/>
      <c r="GX47" s="177"/>
      <c r="HL47" s="95"/>
      <c r="HM47" s="95"/>
      <c r="HN47" s="95"/>
      <c r="HO47" s="95"/>
      <c r="HP47" s="95"/>
      <c r="HQ47" s="95"/>
    </row>
    <row r="48" spans="1:225" x14ac:dyDescent="0.2">
      <c r="A48" s="3" t="s">
        <v>69</v>
      </c>
      <c r="B48">
        <v>1811</v>
      </c>
      <c r="C48">
        <v>1137</v>
      </c>
      <c r="D48">
        <v>0.16</v>
      </c>
      <c r="E48">
        <v>0.4</v>
      </c>
      <c r="F48" s="2">
        <f t="shared" si="107"/>
        <v>724.40000000000009</v>
      </c>
      <c r="G48" t="s">
        <v>11</v>
      </c>
      <c r="H48" s="20"/>
      <c r="I48" s="21"/>
      <c r="J48">
        <v>724</v>
      </c>
      <c r="K48" s="94">
        <f t="shared" si="90"/>
        <v>6.3452159999999997</v>
      </c>
      <c r="L48" s="94">
        <v>416.14</v>
      </c>
      <c r="M48" s="94">
        <f t="shared" si="46"/>
        <v>819.59039999999993</v>
      </c>
      <c r="N48" s="95">
        <f t="shared" si="47"/>
        <v>5822396.6399999997</v>
      </c>
      <c r="O48" s="96">
        <f t="shared" si="48"/>
        <v>2275622488.7999997</v>
      </c>
      <c r="P48" s="95">
        <f t="shared" si="49"/>
        <v>4545421920</v>
      </c>
      <c r="Q48">
        <v>0.4</v>
      </c>
      <c r="R48" s="27">
        <f t="shared" si="108"/>
        <v>1837.5745535999999</v>
      </c>
      <c r="S48" s="27">
        <f t="shared" si="51"/>
        <v>120514.144</v>
      </c>
      <c r="T48" s="27">
        <f t="shared" si="52"/>
        <v>237353.37983999998</v>
      </c>
      <c r="U48">
        <f t="shared" si="53"/>
        <v>1686166066.944</v>
      </c>
      <c r="V48" s="27">
        <f t="shared" si="54"/>
        <v>659020272756.47986</v>
      </c>
      <c r="W48" s="27">
        <f t="shared" si="55"/>
        <v>1316354188032</v>
      </c>
      <c r="X48" s="18"/>
      <c r="Y48">
        <v>2.3999999999999998E-3</v>
      </c>
      <c r="Z48">
        <v>0.99760000000000004</v>
      </c>
      <c r="AA48" s="94">
        <f t="shared" si="56"/>
        <v>4.4101789286399997</v>
      </c>
      <c r="AB48" s="94">
        <f t="shared" si="57"/>
        <v>289.23394559999997</v>
      </c>
      <c r="AC48" s="94">
        <f t="shared" si="58"/>
        <v>569.64811161599994</v>
      </c>
      <c r="AD48">
        <f t="shared" si="59"/>
        <v>4046798.5606655995</v>
      </c>
      <c r="AE48" s="27">
        <f t="shared" si="60"/>
        <v>1581648654.6155515</v>
      </c>
      <c r="AF48" s="27">
        <f t="shared" si="61"/>
        <v>3159250051.2767997</v>
      </c>
      <c r="AG48" s="94">
        <f t="shared" si="62"/>
        <v>1833.1643746713601</v>
      </c>
      <c r="AH48" s="94">
        <f t="shared" si="63"/>
        <v>120224.91005440001</v>
      </c>
      <c r="AI48" s="94">
        <f t="shared" si="64"/>
        <v>236783.73172838398</v>
      </c>
      <c r="AJ48" s="27">
        <f t="shared" si="65"/>
        <v>1682119268.3833344</v>
      </c>
      <c r="AK48" s="95">
        <f t="shared" si="66"/>
        <v>657438624101.86438</v>
      </c>
      <c r="AL48" s="27">
        <f t="shared" si="67"/>
        <v>1313194937980.7231</v>
      </c>
      <c r="AM48" s="27"/>
      <c r="AN48" s="27"/>
      <c r="AO48" s="27"/>
      <c r="AP48" s="27"/>
      <c r="AQ48" s="27"/>
      <c r="AR48" s="27"/>
      <c r="AT48" s="95"/>
      <c r="AU48" s="95"/>
      <c r="AV48" s="95"/>
      <c r="AW48" s="95"/>
      <c r="AX48" s="95"/>
      <c r="AY48" s="18"/>
      <c r="AZ48">
        <v>0</v>
      </c>
      <c r="BA48" s="34">
        <f t="shared" si="91"/>
        <v>0</v>
      </c>
      <c r="BB48" s="34">
        <f t="shared" si="92"/>
        <v>1</v>
      </c>
      <c r="BC48" s="94">
        <f t="shared" si="93"/>
        <v>0</v>
      </c>
      <c r="BD48" s="94">
        <f t="shared" si="94"/>
        <v>0</v>
      </c>
      <c r="BE48" s="94">
        <f t="shared" si="95"/>
        <v>1833.1643746713601</v>
      </c>
      <c r="BF48">
        <f t="shared" si="96"/>
        <v>0</v>
      </c>
      <c r="BG48">
        <f t="shared" si="97"/>
        <v>0</v>
      </c>
      <c r="BH48">
        <f t="shared" si="98"/>
        <v>1682119268.3833344</v>
      </c>
      <c r="BI48" s="27"/>
      <c r="BJ48" s="27"/>
      <c r="BM48" s="94">
        <f t="shared" si="87"/>
        <v>0</v>
      </c>
      <c r="BN48" s="94">
        <f t="shared" si="99"/>
        <v>0</v>
      </c>
      <c r="BO48" s="94">
        <f t="shared" si="100"/>
        <v>120224.91005440001</v>
      </c>
      <c r="BP48" s="95">
        <f t="shared" si="88"/>
        <v>0</v>
      </c>
      <c r="BQ48" s="95">
        <f t="shared" si="101"/>
        <v>0</v>
      </c>
      <c r="BR48" s="95">
        <f t="shared" si="102"/>
        <v>657438624101.86438</v>
      </c>
      <c r="BW48" s="94">
        <f t="shared" si="89"/>
        <v>0</v>
      </c>
      <c r="BX48" s="94">
        <f t="shared" si="103"/>
        <v>0</v>
      </c>
      <c r="BY48" s="94">
        <f t="shared" si="104"/>
        <v>236783.73172838398</v>
      </c>
      <c r="BZ48" s="95">
        <f t="shared" si="82"/>
        <v>0</v>
      </c>
      <c r="CA48" s="95">
        <f t="shared" si="105"/>
        <v>0</v>
      </c>
      <c r="CB48" s="95">
        <f t="shared" si="106"/>
        <v>1313194937980.7231</v>
      </c>
      <c r="CG48" s="18"/>
      <c r="CN48" s="95"/>
      <c r="CR48" s="95"/>
      <c r="CT48" s="95"/>
      <c r="CV48" s="95"/>
      <c r="CX48" s="95"/>
      <c r="CZ48" s="95"/>
      <c r="DB48" s="95"/>
      <c r="DC48" s="117"/>
      <c r="DR48" s="95"/>
      <c r="DV48" s="95"/>
      <c r="DW48" s="95"/>
      <c r="DX48" s="95"/>
      <c r="ED48" s="27"/>
      <c r="EE48" s="27"/>
      <c r="EF48" s="27"/>
      <c r="EG48" s="27"/>
      <c r="FL48" s="121"/>
      <c r="GA48" s="177"/>
      <c r="GB48" s="177"/>
      <c r="GC48" s="177"/>
      <c r="GD48" s="177"/>
      <c r="GE48" s="177"/>
      <c r="GF48" s="177"/>
      <c r="GG48" s="177"/>
      <c r="GH48" s="27"/>
      <c r="GI48" s="27"/>
      <c r="GJ48" s="27"/>
      <c r="GK48" s="27"/>
      <c r="GL48" s="27"/>
      <c r="GM48" s="27"/>
      <c r="GN48" s="27"/>
      <c r="GO48" s="27"/>
      <c r="GP48" s="27"/>
      <c r="GQ48" s="27"/>
      <c r="GR48" s="27"/>
      <c r="GS48" s="177"/>
      <c r="GT48" s="177"/>
      <c r="GU48" s="177"/>
      <c r="GV48" s="177"/>
      <c r="GW48" s="177"/>
      <c r="GX48" s="177"/>
      <c r="HL48" s="95"/>
      <c r="HM48" s="95"/>
      <c r="HN48" s="95"/>
      <c r="HO48" s="95"/>
      <c r="HP48" s="95"/>
      <c r="HQ48" s="95"/>
    </row>
    <row r="49" spans="1:225" x14ac:dyDescent="0.2">
      <c r="A49" s="3" t="s">
        <v>70</v>
      </c>
      <c r="B49">
        <v>1685</v>
      </c>
      <c r="C49">
        <v>1450</v>
      </c>
      <c r="D49">
        <v>0.06</v>
      </c>
      <c r="E49">
        <v>0.1</v>
      </c>
      <c r="F49" s="2">
        <f t="shared" si="107"/>
        <v>168.5</v>
      </c>
      <c r="G49" t="s">
        <v>11</v>
      </c>
      <c r="H49" s="20"/>
      <c r="I49" s="21"/>
      <c r="J49">
        <v>169</v>
      </c>
      <c r="K49" s="94">
        <f t="shared" si="90"/>
        <v>6.3452159999999997</v>
      </c>
      <c r="L49" s="94">
        <v>416.14</v>
      </c>
      <c r="M49" s="94">
        <f t="shared" si="46"/>
        <v>819.59039999999993</v>
      </c>
      <c r="N49" s="95">
        <f t="shared" si="47"/>
        <v>5822396.6399999997</v>
      </c>
      <c r="O49" s="96">
        <f t="shared" si="48"/>
        <v>2275622488.7999997</v>
      </c>
      <c r="P49" s="95">
        <f t="shared" si="49"/>
        <v>4545421920</v>
      </c>
      <c r="Q49">
        <v>0.1</v>
      </c>
      <c r="R49" s="27">
        <f t="shared" si="108"/>
        <v>107.2341504</v>
      </c>
      <c r="S49" s="27">
        <f t="shared" si="51"/>
        <v>7032.7660000000005</v>
      </c>
      <c r="T49" s="27">
        <f t="shared" si="52"/>
        <v>13851.07776</v>
      </c>
      <c r="U49">
        <f t="shared" si="53"/>
        <v>98398503.216000006</v>
      </c>
      <c r="V49" s="27">
        <f t="shared" si="54"/>
        <v>38458020060.719994</v>
      </c>
      <c r="W49" s="27">
        <f t="shared" si="55"/>
        <v>76817630448</v>
      </c>
      <c r="X49" s="18"/>
      <c r="Y49">
        <v>2.3999999999999998E-3</v>
      </c>
      <c r="Z49">
        <v>0.99760000000000004</v>
      </c>
      <c r="AA49" s="94">
        <f t="shared" si="56"/>
        <v>0.25736196095999997</v>
      </c>
      <c r="AB49" s="94">
        <f t="shared" si="57"/>
        <v>16.8786384</v>
      </c>
      <c r="AC49" s="94">
        <f t="shared" si="58"/>
        <v>33.242586623999998</v>
      </c>
      <c r="AD49">
        <f t="shared" si="59"/>
        <v>236156.40771840001</v>
      </c>
      <c r="AE49" s="27">
        <f t="shared" si="60"/>
        <v>92299248.145727977</v>
      </c>
      <c r="AF49" s="27">
        <f t="shared" si="61"/>
        <v>184362313.07519999</v>
      </c>
      <c r="AG49" s="94">
        <f t="shared" si="62"/>
        <v>106.97678843904001</v>
      </c>
      <c r="AH49" s="94">
        <f t="shared" si="63"/>
        <v>7015.887361600001</v>
      </c>
      <c r="AI49" s="94">
        <f t="shared" si="64"/>
        <v>13817.835173376001</v>
      </c>
      <c r="AJ49" s="27">
        <f t="shared" si="65"/>
        <v>98162346.808281615</v>
      </c>
      <c r="AK49" s="95">
        <f t="shared" si="66"/>
        <v>38365720812.574265</v>
      </c>
      <c r="AL49" s="27">
        <f t="shared" si="67"/>
        <v>76633268134.924805</v>
      </c>
      <c r="AM49" s="27"/>
      <c r="AN49" s="27"/>
      <c r="AO49" s="27"/>
      <c r="AP49" s="27"/>
      <c r="AQ49" s="27"/>
      <c r="AR49" s="27"/>
      <c r="AT49" s="95"/>
      <c r="AU49" s="95"/>
      <c r="AV49" s="95"/>
      <c r="AW49" s="95"/>
      <c r="AX49" s="95"/>
      <c r="AY49" s="18"/>
      <c r="AZ49">
        <v>0</v>
      </c>
      <c r="BA49" s="34">
        <f t="shared" si="91"/>
        <v>0</v>
      </c>
      <c r="BB49" s="34">
        <f t="shared" si="92"/>
        <v>1</v>
      </c>
      <c r="BC49" s="94">
        <f t="shared" si="93"/>
        <v>0</v>
      </c>
      <c r="BD49" s="94">
        <f t="shared" si="94"/>
        <v>0</v>
      </c>
      <c r="BE49" s="94">
        <f t="shared" si="95"/>
        <v>106.97678843904001</v>
      </c>
      <c r="BF49">
        <f t="shared" si="96"/>
        <v>0</v>
      </c>
      <c r="BG49">
        <f t="shared" si="97"/>
        <v>0</v>
      </c>
      <c r="BH49">
        <f t="shared" si="98"/>
        <v>98162346.808281615</v>
      </c>
      <c r="BI49" s="27"/>
      <c r="BJ49" s="27"/>
      <c r="BM49" s="94">
        <f t="shared" si="87"/>
        <v>0</v>
      </c>
      <c r="BN49" s="94">
        <f t="shared" si="99"/>
        <v>0</v>
      </c>
      <c r="BO49" s="94">
        <f t="shared" si="100"/>
        <v>7015.887361600001</v>
      </c>
      <c r="BP49" s="95">
        <f t="shared" si="88"/>
        <v>0</v>
      </c>
      <c r="BQ49" s="95">
        <f t="shared" si="101"/>
        <v>0</v>
      </c>
      <c r="BR49" s="95">
        <f t="shared" si="102"/>
        <v>38365720812.574265</v>
      </c>
      <c r="BW49" s="94">
        <f t="shared" si="89"/>
        <v>0</v>
      </c>
      <c r="BX49" s="94">
        <f t="shared" si="103"/>
        <v>0</v>
      </c>
      <c r="BY49" s="94">
        <f t="shared" si="104"/>
        <v>13817.835173376001</v>
      </c>
      <c r="BZ49" s="95">
        <f t="shared" si="82"/>
        <v>0</v>
      </c>
      <c r="CA49" s="95">
        <f t="shared" si="105"/>
        <v>0</v>
      </c>
      <c r="CB49" s="95">
        <f t="shared" si="106"/>
        <v>76633268134.924805</v>
      </c>
      <c r="CG49" s="18"/>
      <c r="CN49" s="95"/>
      <c r="CR49" s="95"/>
      <c r="CT49" s="95"/>
      <c r="CV49" s="95"/>
      <c r="CX49" s="95"/>
      <c r="CZ49" s="95"/>
      <c r="DB49" s="95"/>
      <c r="DC49" s="117"/>
      <c r="DR49" s="95"/>
      <c r="DV49" s="95"/>
      <c r="DW49" s="95"/>
      <c r="DX49" s="95"/>
      <c r="ED49" s="27"/>
      <c r="EE49" s="27"/>
      <c r="EF49" s="27"/>
      <c r="EG49" s="27"/>
      <c r="FL49" s="121"/>
      <c r="GA49" s="177"/>
      <c r="GB49" s="177"/>
      <c r="GC49" s="177"/>
      <c r="GD49" s="177"/>
      <c r="GE49" s="177"/>
      <c r="GF49" s="177"/>
      <c r="GG49" s="177"/>
      <c r="GH49" s="27"/>
      <c r="GI49" s="27"/>
      <c r="GJ49" s="27"/>
      <c r="GK49" s="27"/>
      <c r="GL49" s="27"/>
      <c r="GM49" s="27"/>
      <c r="GN49" s="27"/>
      <c r="GO49" s="27"/>
      <c r="GP49" s="27"/>
      <c r="GQ49" s="27"/>
      <c r="GR49" s="27"/>
      <c r="GS49" s="177"/>
      <c r="GT49" s="177"/>
      <c r="GU49" s="177"/>
      <c r="GV49" s="177"/>
      <c r="GW49" s="177"/>
      <c r="GX49" s="177"/>
      <c r="HL49" s="95"/>
      <c r="HM49" s="95"/>
      <c r="HN49" s="95"/>
      <c r="HO49" s="95"/>
      <c r="HP49" s="95"/>
      <c r="HQ49" s="95"/>
    </row>
    <row r="50" spans="1:225" x14ac:dyDescent="0.2">
      <c r="A50" s="3" t="s">
        <v>71</v>
      </c>
      <c r="B50">
        <v>1693</v>
      </c>
      <c r="C50">
        <v>1035</v>
      </c>
      <c r="D50">
        <v>1.42</v>
      </c>
      <c r="E50">
        <v>1.1499999999999999</v>
      </c>
      <c r="F50" s="2">
        <f t="shared" si="107"/>
        <v>1946.9499999999998</v>
      </c>
      <c r="G50" t="s">
        <v>11</v>
      </c>
      <c r="H50" s="20"/>
      <c r="I50" s="21"/>
      <c r="J50">
        <v>1947</v>
      </c>
      <c r="K50" s="94">
        <f t="shared" si="90"/>
        <v>6.3452159999999997</v>
      </c>
      <c r="L50" s="94">
        <v>416.14</v>
      </c>
      <c r="M50" s="94">
        <f t="shared" si="46"/>
        <v>819.59039999999993</v>
      </c>
      <c r="N50" s="95">
        <f t="shared" si="47"/>
        <v>5822396.6399999997</v>
      </c>
      <c r="O50" s="96">
        <f t="shared" si="48"/>
        <v>2275622488.7999997</v>
      </c>
      <c r="P50" s="95">
        <f t="shared" si="49"/>
        <v>4545421920</v>
      </c>
      <c r="Q50">
        <v>1.1499999999999999</v>
      </c>
      <c r="R50" s="27">
        <f t="shared" si="108"/>
        <v>14207.255884799999</v>
      </c>
      <c r="S50" s="27">
        <f t="shared" si="51"/>
        <v>931758.26699999988</v>
      </c>
      <c r="T50" s="27">
        <f t="shared" si="52"/>
        <v>1835103.8851199998</v>
      </c>
      <c r="U50">
        <f t="shared" si="53"/>
        <v>13036637196.792</v>
      </c>
      <c r="V50" s="27">
        <f t="shared" si="54"/>
        <v>5095232533547.6387</v>
      </c>
      <c r="W50" s="27">
        <f t="shared" si="55"/>
        <v>10177426949976</v>
      </c>
      <c r="X50" s="18"/>
      <c r="Y50">
        <v>2.3999999999999998E-3</v>
      </c>
      <c r="Z50">
        <v>0.99760000000000004</v>
      </c>
      <c r="AA50" s="94">
        <f t="shared" si="56"/>
        <v>34.097414123519997</v>
      </c>
      <c r="AB50" s="94">
        <f t="shared" si="57"/>
        <v>2236.2198407999995</v>
      </c>
      <c r="AC50" s="94">
        <f t="shared" si="58"/>
        <v>4404.2493242879991</v>
      </c>
      <c r="AD50">
        <f t="shared" si="59"/>
        <v>31287929.272300798</v>
      </c>
      <c r="AE50" s="27">
        <f t="shared" si="60"/>
        <v>12228558080.514332</v>
      </c>
      <c r="AF50" s="27">
        <f t="shared" si="61"/>
        <v>24425824679.942398</v>
      </c>
      <c r="AG50" s="94">
        <f t="shared" si="62"/>
        <v>14173.158470676479</v>
      </c>
      <c r="AH50" s="94">
        <f t="shared" si="63"/>
        <v>929522.04715919995</v>
      </c>
      <c r="AI50" s="94">
        <f t="shared" si="64"/>
        <v>1830699.6357957118</v>
      </c>
      <c r="AJ50" s="27">
        <f t="shared" si="65"/>
        <v>13005349267.519699</v>
      </c>
      <c r="AK50" s="95">
        <f t="shared" si="66"/>
        <v>5083003975467.125</v>
      </c>
      <c r="AL50" s="27">
        <f t="shared" si="67"/>
        <v>10153001125296.059</v>
      </c>
      <c r="AM50" s="27"/>
      <c r="AN50" s="27"/>
      <c r="AO50" s="27"/>
      <c r="AP50" s="27"/>
      <c r="AQ50" s="27"/>
      <c r="AR50" s="27"/>
      <c r="AT50" s="95"/>
      <c r="AU50" s="95"/>
      <c r="AV50" s="95"/>
      <c r="AW50" s="95"/>
      <c r="AX50" s="95"/>
      <c r="AY50" s="18"/>
      <c r="AZ50">
        <v>155</v>
      </c>
      <c r="BA50" s="34">
        <f t="shared" si="91"/>
        <v>1.7694063926940638E-2</v>
      </c>
      <c r="BB50" s="34">
        <f t="shared" si="92"/>
        <v>0.98230593607305938</v>
      </c>
      <c r="BC50" s="94">
        <f t="shared" si="93"/>
        <v>250.78077202680984</v>
      </c>
      <c r="BD50" s="94">
        <f t="shared" si="94"/>
        <v>125.39038601340492</v>
      </c>
      <c r="BE50" s="94">
        <f t="shared" si="95"/>
        <v>14047.768084663074</v>
      </c>
      <c r="BF50">
        <f t="shared" si="96"/>
        <v>230117481.33168417</v>
      </c>
      <c r="BG50">
        <f t="shared" si="97"/>
        <v>115058740.66584209</v>
      </c>
      <c r="BH50">
        <f t="shared" si="98"/>
        <v>12890290526.853857</v>
      </c>
      <c r="BI50" s="27"/>
      <c r="BJ50" s="27"/>
      <c r="BM50" s="94">
        <f t="shared" si="87"/>
        <v>16447.022523935615</v>
      </c>
      <c r="BN50" s="94">
        <f t="shared" si="99"/>
        <v>8223.5112619678075</v>
      </c>
      <c r="BO50" s="94">
        <f t="shared" si="100"/>
        <v>921298.53589723213</v>
      </c>
      <c r="BP50" s="95">
        <f t="shared" si="88"/>
        <v>89938997282.808716</v>
      </c>
      <c r="BQ50" s="95">
        <f t="shared" si="101"/>
        <v>44969498641.404358</v>
      </c>
      <c r="BR50" s="95">
        <f t="shared" si="102"/>
        <v>5038034476825.7207</v>
      </c>
      <c r="BW50" s="94">
        <f t="shared" si="89"/>
        <v>32392.516386796269</v>
      </c>
      <c r="BX50" s="94">
        <f t="shared" si="103"/>
        <v>16196.258193398135</v>
      </c>
      <c r="BY50" s="94">
        <f t="shared" si="104"/>
        <v>1814503.3776023136</v>
      </c>
      <c r="BZ50" s="95">
        <f t="shared" si="82"/>
        <v>179647850961.2887</v>
      </c>
      <c r="CA50" s="95">
        <f t="shared" si="105"/>
        <v>89823925480.644348</v>
      </c>
      <c r="CB50" s="95">
        <f t="shared" si="106"/>
        <v>10063177199815.414</v>
      </c>
      <c r="CG50" s="18"/>
      <c r="CN50" s="95"/>
      <c r="CR50" s="95"/>
      <c r="CT50" s="95"/>
      <c r="CV50" s="95"/>
      <c r="CX50" s="95"/>
      <c r="CZ50" s="95"/>
      <c r="DB50" s="95"/>
      <c r="DC50" s="117"/>
      <c r="DR50" s="95"/>
      <c r="DV50" s="95"/>
      <c r="DW50" s="95"/>
      <c r="DX50" s="95"/>
      <c r="ED50" s="27"/>
      <c r="EE50" s="27"/>
      <c r="EF50" s="27"/>
      <c r="EG50" s="27"/>
      <c r="FL50" s="121"/>
      <c r="GA50" s="177"/>
      <c r="GB50" s="177"/>
      <c r="GC50" s="177"/>
      <c r="GD50" s="177"/>
      <c r="GE50" s="177"/>
      <c r="GF50" s="177"/>
      <c r="GG50" s="177"/>
      <c r="GH50" s="27"/>
      <c r="GI50" s="27"/>
      <c r="GJ50" s="27"/>
      <c r="GK50" s="27"/>
      <c r="GL50" s="27"/>
      <c r="GM50" s="27"/>
      <c r="GN50" s="27"/>
      <c r="GO50" s="27"/>
      <c r="GP50" s="27"/>
      <c r="GQ50" s="27"/>
      <c r="GR50" s="27"/>
      <c r="GS50" s="177"/>
      <c r="GT50" s="177"/>
      <c r="GU50" s="177"/>
      <c r="GV50" s="177"/>
      <c r="GW50" s="177"/>
      <c r="GX50" s="177"/>
      <c r="HL50" s="95"/>
      <c r="HM50" s="95"/>
      <c r="HN50" s="95"/>
      <c r="HO50" s="95"/>
      <c r="HP50" s="95"/>
      <c r="HQ50" s="95"/>
    </row>
    <row r="51" spans="1:225" x14ac:dyDescent="0.2">
      <c r="A51" s="4" t="s">
        <v>72</v>
      </c>
      <c r="B51" s="5">
        <v>1595</v>
      </c>
      <c r="C51" s="5">
        <v>4718</v>
      </c>
      <c r="D51" s="5">
        <v>0.52</v>
      </c>
      <c r="E51" s="5">
        <v>0.6</v>
      </c>
      <c r="F51" s="13">
        <f t="shared" si="107"/>
        <v>957</v>
      </c>
      <c r="G51" t="s">
        <v>11</v>
      </c>
      <c r="H51" s="29"/>
      <c r="I51" s="30"/>
      <c r="J51" s="4">
        <v>957</v>
      </c>
      <c r="K51" s="94">
        <f t="shared" si="90"/>
        <v>6.3452159999999997</v>
      </c>
      <c r="L51" s="94">
        <v>416.14</v>
      </c>
      <c r="M51" s="94">
        <f t="shared" si="46"/>
        <v>819.59039999999993</v>
      </c>
      <c r="N51" s="95">
        <f t="shared" si="47"/>
        <v>5822396.6399999997</v>
      </c>
      <c r="O51" s="96">
        <f t="shared" si="48"/>
        <v>2275622488.7999997</v>
      </c>
      <c r="P51" s="95">
        <f t="shared" si="49"/>
        <v>4545421920</v>
      </c>
      <c r="Q51" s="5">
        <v>0.6</v>
      </c>
      <c r="R51" s="27">
        <f t="shared" si="108"/>
        <v>3643.4230272</v>
      </c>
      <c r="S51" s="27">
        <f t="shared" si="51"/>
        <v>238947.58799999999</v>
      </c>
      <c r="T51" s="27">
        <f t="shared" si="52"/>
        <v>470608.80767999991</v>
      </c>
      <c r="U51">
        <f t="shared" si="53"/>
        <v>3343220150.6879997</v>
      </c>
      <c r="V51" s="27">
        <f t="shared" si="54"/>
        <v>1306662433068.9597</v>
      </c>
      <c r="W51" s="27">
        <f t="shared" si="55"/>
        <v>2609981266464</v>
      </c>
      <c r="X51" s="19"/>
      <c r="Y51">
        <v>2.3999999999999998E-3</v>
      </c>
      <c r="Z51">
        <v>0.99760000000000004</v>
      </c>
      <c r="AA51" s="94">
        <f t="shared" si="56"/>
        <v>8.7442152652799994</v>
      </c>
      <c r="AB51" s="94">
        <f t="shared" si="57"/>
        <v>573.4742111999999</v>
      </c>
      <c r="AC51" s="94">
        <f t="shared" si="58"/>
        <v>1129.4611384319996</v>
      </c>
      <c r="AD51">
        <f t="shared" si="59"/>
        <v>8023728.3616511989</v>
      </c>
      <c r="AE51" s="27">
        <f t="shared" si="60"/>
        <v>3135989839.3655028</v>
      </c>
      <c r="AF51" s="27">
        <f t="shared" si="61"/>
        <v>6263955039.5135994</v>
      </c>
      <c r="AG51" s="94">
        <f t="shared" si="62"/>
        <v>3634.6788119347202</v>
      </c>
      <c r="AH51" s="94">
        <f t="shared" si="63"/>
        <v>238374.11378879999</v>
      </c>
      <c r="AI51" s="94">
        <f t="shared" si="64"/>
        <v>469479.34654156794</v>
      </c>
      <c r="AJ51" s="27">
        <f t="shared" si="65"/>
        <v>3335196422.3263488</v>
      </c>
      <c r="AK51" s="95">
        <f t="shared" si="66"/>
        <v>1303526443229.5942</v>
      </c>
      <c r="AL51" s="27">
        <f t="shared" si="67"/>
        <v>2603717311424.4863</v>
      </c>
      <c r="AM51" s="27"/>
      <c r="AN51" s="27"/>
      <c r="AO51" s="27"/>
      <c r="AP51" s="27"/>
      <c r="AQ51" s="27"/>
      <c r="AR51" s="27"/>
      <c r="AT51" s="95"/>
      <c r="AU51" s="95"/>
      <c r="AV51" s="95"/>
      <c r="AW51" s="95"/>
      <c r="AX51" s="95"/>
      <c r="AY51" s="19"/>
      <c r="AZ51">
        <v>10</v>
      </c>
      <c r="BA51" s="34">
        <f t="shared" si="91"/>
        <v>1.1415525114155251E-3</v>
      </c>
      <c r="BB51" s="34">
        <f t="shared" si="92"/>
        <v>0.99885844748858443</v>
      </c>
      <c r="BC51" s="94">
        <f t="shared" si="93"/>
        <v>4.1491767259528771</v>
      </c>
      <c r="BD51" s="94">
        <f t="shared" si="94"/>
        <v>2.0745883629764386</v>
      </c>
      <c r="BE51" s="94">
        <f t="shared" si="95"/>
        <v>3632.6042235717437</v>
      </c>
      <c r="BF51">
        <f t="shared" si="96"/>
        <v>3807301.8519707178</v>
      </c>
      <c r="BG51">
        <f t="shared" si="97"/>
        <v>1903650.9259853589</v>
      </c>
      <c r="BH51">
        <f t="shared" si="98"/>
        <v>3333292771.4003634</v>
      </c>
      <c r="BI51" s="27"/>
      <c r="BJ51" s="27"/>
      <c r="BM51" s="94">
        <f t="shared" si="87"/>
        <v>272.11656825205478</v>
      </c>
      <c r="BN51" s="94">
        <f t="shared" si="99"/>
        <v>136.05828412602739</v>
      </c>
      <c r="BO51" s="94">
        <f t="shared" si="100"/>
        <v>238238.05550467395</v>
      </c>
      <c r="BP51" s="95">
        <f t="shared" si="88"/>
        <v>1488043884.9652901</v>
      </c>
      <c r="BQ51" s="95">
        <f t="shared" si="101"/>
        <v>744021942.48264503</v>
      </c>
      <c r="BR51" s="95">
        <f t="shared" si="102"/>
        <v>1302782421287.1116</v>
      </c>
      <c r="BW51" s="94">
        <f xml:space="preserve"> AI51 * BA51</f>
        <v>535.93532710224645</v>
      </c>
      <c r="BX51" s="94">
        <f t="shared" si="103"/>
        <v>267.96766355112322</v>
      </c>
      <c r="BY51" s="94">
        <f t="shared" si="104"/>
        <v>469211.37887801678</v>
      </c>
      <c r="BZ51" s="95">
        <f t="shared" si="82"/>
        <v>2972280035.8727012</v>
      </c>
      <c r="CA51" s="95">
        <f t="shared" si="105"/>
        <v>1486140017.9363506</v>
      </c>
      <c r="CB51" s="95">
        <f t="shared" si="106"/>
        <v>2602231171406.5498</v>
      </c>
      <c r="CG51" s="19"/>
      <c r="CH51" s="5"/>
      <c r="CI51" s="5"/>
      <c r="CJ51" s="5"/>
      <c r="CK51" s="5"/>
      <c r="CL51" s="5"/>
      <c r="CM51" s="5"/>
      <c r="CN51" s="157"/>
      <c r="CO51" s="5"/>
      <c r="CP51" s="5"/>
      <c r="CQ51" s="5"/>
      <c r="CR51" s="157"/>
      <c r="CS51" s="5"/>
      <c r="CT51" s="157"/>
      <c r="CU51" s="5"/>
      <c r="CV51" s="157"/>
      <c r="CW51" s="5"/>
      <c r="CX51" s="157"/>
      <c r="CY51" s="5"/>
      <c r="CZ51" s="157"/>
      <c r="DA51" s="5"/>
      <c r="DB51" s="157"/>
      <c r="DC51" s="29"/>
      <c r="DR51" s="95"/>
      <c r="DV51" s="95"/>
      <c r="DW51" s="95"/>
      <c r="DX51" s="95"/>
      <c r="ED51" s="27"/>
      <c r="EE51" s="27"/>
      <c r="EF51" s="27"/>
      <c r="EG51" s="27"/>
      <c r="FL51" s="121"/>
      <c r="GA51" s="177"/>
      <c r="GB51" s="177"/>
      <c r="GC51" s="177"/>
      <c r="GD51" s="177"/>
      <c r="GE51" s="177"/>
      <c r="GF51" s="177"/>
      <c r="GG51" s="177"/>
      <c r="GH51" s="27"/>
      <c r="GI51" s="27"/>
      <c r="GJ51" s="27"/>
      <c r="GK51" s="27"/>
      <c r="GL51" s="27"/>
      <c r="GM51" s="27"/>
      <c r="GN51" s="27"/>
      <c r="GO51" s="27"/>
      <c r="GP51" s="27"/>
      <c r="GQ51" s="27"/>
      <c r="GR51" s="27"/>
      <c r="GS51" s="177"/>
      <c r="GT51" s="177"/>
      <c r="GU51" s="177"/>
      <c r="GV51" s="177"/>
      <c r="GW51" s="177"/>
      <c r="GX51" s="177"/>
      <c r="HL51" s="95"/>
      <c r="HM51" s="95"/>
      <c r="HN51" s="95"/>
      <c r="HO51" s="95"/>
      <c r="HP51" s="95"/>
      <c r="HQ51" s="95"/>
    </row>
    <row r="52" spans="1:225" x14ac:dyDescent="0.2">
      <c r="E52" s="11">
        <f>$E25+$E26+$E27+$E28+$E29+$E30+$E31+$E32+$E33+$E34+$E35+$E36+$E37+$E38+$E39+$E40+$E41+$E42+$E43+$E44+$E45+$E46+$E47+$E48+$E49+$E50+$E51</f>
        <v>16.003</v>
      </c>
      <c r="J52" s="44" t="s">
        <v>174</v>
      </c>
      <c r="K52" s="44"/>
      <c r="L52" s="44"/>
      <c r="M52" s="44"/>
      <c r="N52" s="231"/>
      <c r="R52" s="11"/>
      <c r="S52" s="11"/>
      <c r="T52" s="11"/>
      <c r="U52" s="11"/>
      <c r="V52" s="11"/>
      <c r="W52" s="11"/>
      <c r="AE52" s="27"/>
      <c r="AF52" s="27"/>
      <c r="AG52" s="94"/>
      <c r="AH52" s="94"/>
      <c r="AI52" s="94"/>
      <c r="AJ52" s="27"/>
      <c r="AK52" s="95"/>
      <c r="AL52" s="27"/>
      <c r="AM52" s="27"/>
      <c r="AN52" s="27"/>
      <c r="AO52" s="27"/>
      <c r="AP52" s="27"/>
      <c r="AQ52" s="27"/>
      <c r="AR52" s="27"/>
      <c r="AT52" s="95"/>
      <c r="AU52" s="95"/>
      <c r="AV52" s="95"/>
      <c r="AW52" s="95"/>
      <c r="AX52" s="95"/>
      <c r="BC52" s="94"/>
      <c r="BD52" s="94"/>
      <c r="BE52" s="94"/>
      <c r="BI52" s="27"/>
      <c r="BJ52" s="27"/>
      <c r="BM52" s="94"/>
      <c r="BN52" s="94"/>
      <c r="BO52" s="94"/>
      <c r="BP52" s="95"/>
      <c r="BQ52" s="95"/>
      <c r="BR52" s="95"/>
      <c r="BW52" s="94"/>
      <c r="BX52" s="94"/>
      <c r="BY52" s="94"/>
      <c r="BZ52" s="95"/>
      <c r="CA52" s="95"/>
      <c r="CB52" s="95"/>
      <c r="CN52" s="95"/>
      <c r="CR52" s="95"/>
      <c r="CT52" s="95"/>
      <c r="CV52" s="95"/>
      <c r="CX52" s="95"/>
      <c r="CZ52" s="95"/>
      <c r="DB52" s="95"/>
      <c r="DC52" s="118"/>
      <c r="DR52" s="95"/>
      <c r="DV52" s="95"/>
      <c r="DW52" s="95"/>
      <c r="DX52" s="95"/>
      <c r="ED52" s="27"/>
      <c r="EE52" s="27"/>
      <c r="EF52" s="27"/>
      <c r="EG52" s="27"/>
      <c r="FL52" s="121"/>
      <c r="GA52" s="177"/>
      <c r="GB52" s="177"/>
      <c r="GC52" s="177"/>
      <c r="GD52" s="177"/>
      <c r="GE52" s="177"/>
      <c r="GF52" s="177"/>
      <c r="GG52" s="177"/>
      <c r="GH52" s="27"/>
      <c r="GI52" s="27"/>
      <c r="GJ52" s="27"/>
      <c r="GK52" s="27"/>
      <c r="GL52" s="27"/>
      <c r="GM52" s="27"/>
      <c r="GN52" s="27"/>
      <c r="GO52" s="27"/>
      <c r="GP52" s="27"/>
      <c r="GQ52" s="27"/>
      <c r="GR52" s="27"/>
      <c r="GS52" s="177"/>
      <c r="GT52" s="177"/>
      <c r="GU52" s="177"/>
      <c r="GV52" s="177"/>
      <c r="GW52" s="177"/>
      <c r="GX52" s="177"/>
      <c r="HL52" s="95"/>
      <c r="HM52" s="95"/>
      <c r="HN52" s="95"/>
      <c r="HO52" s="95"/>
      <c r="HP52" s="95"/>
      <c r="HQ52" s="95"/>
    </row>
    <row r="53" spans="1:225" x14ac:dyDescent="0.2">
      <c r="AE53" s="27"/>
      <c r="AF53" s="27"/>
      <c r="AG53" s="94"/>
      <c r="AH53" s="94"/>
      <c r="AI53" s="94"/>
      <c r="AJ53" s="27"/>
      <c r="AK53" s="95"/>
      <c r="AL53" s="27"/>
      <c r="AM53" s="27"/>
      <c r="AN53" s="27"/>
      <c r="AO53" s="27"/>
      <c r="AP53" s="27"/>
      <c r="AQ53" s="27"/>
      <c r="AR53" s="27"/>
      <c r="AT53" s="95"/>
      <c r="AU53" s="95"/>
      <c r="AV53" s="95"/>
      <c r="AW53" s="95"/>
      <c r="AX53" s="95"/>
      <c r="BC53" s="94"/>
      <c r="BD53" s="94"/>
      <c r="BE53" s="94"/>
      <c r="BI53" s="27"/>
      <c r="BJ53" s="27"/>
      <c r="BM53" s="94"/>
      <c r="BN53" s="94"/>
      <c r="BO53" s="94"/>
      <c r="BP53" s="95"/>
      <c r="BQ53" s="95"/>
      <c r="BR53" s="95"/>
      <c r="BW53" s="94"/>
      <c r="BX53" s="94"/>
      <c r="BY53" s="94"/>
      <c r="BZ53" s="95"/>
      <c r="CA53" s="95"/>
      <c r="CB53" s="95"/>
      <c r="CH53" s="35"/>
      <c r="CI53" s="37"/>
      <c r="CJ53" s="35"/>
      <c r="CK53" s="35"/>
      <c r="CL53" s="35"/>
      <c r="CM53" s="35"/>
      <c r="CN53" s="158"/>
      <c r="CO53" s="35"/>
      <c r="CP53" s="35"/>
      <c r="CR53" s="95"/>
      <c r="CT53" s="95"/>
      <c r="CV53" s="95"/>
      <c r="CX53" s="95"/>
      <c r="CZ53" s="95"/>
      <c r="DB53" s="95"/>
      <c r="DC53" s="119"/>
      <c r="DR53" s="95"/>
      <c r="DV53" s="95"/>
      <c r="DW53" s="95"/>
      <c r="DX53" s="95"/>
      <c r="ED53" s="27"/>
      <c r="EE53" s="27"/>
      <c r="EF53" s="27"/>
      <c r="EG53" s="27"/>
      <c r="FL53" s="121"/>
      <c r="GA53" s="177"/>
      <c r="GB53" s="177"/>
      <c r="GC53" s="177"/>
      <c r="GD53" s="177"/>
      <c r="GE53" s="177"/>
      <c r="GF53" s="177"/>
      <c r="GG53" s="177"/>
      <c r="GH53" s="27"/>
      <c r="GI53" s="27"/>
      <c r="GJ53" s="27"/>
      <c r="GK53" s="27"/>
      <c r="GL53" s="27"/>
      <c r="GM53" s="27"/>
      <c r="GN53" s="27"/>
      <c r="GO53" s="27"/>
      <c r="GP53" s="27"/>
      <c r="GQ53" s="27"/>
      <c r="GR53" s="27"/>
      <c r="GS53" s="177"/>
      <c r="GT53" s="177"/>
      <c r="GU53" s="177"/>
      <c r="GV53" s="177"/>
      <c r="GW53" s="177"/>
      <c r="GX53" s="177"/>
      <c r="HL53" s="95"/>
      <c r="HM53" s="95"/>
      <c r="HN53" s="95"/>
      <c r="HO53" s="95"/>
      <c r="HP53" s="95"/>
      <c r="HQ53" s="95"/>
    </row>
    <row r="54" spans="1:225" x14ac:dyDescent="0.2">
      <c r="AE54" s="27"/>
      <c r="AF54" s="27"/>
      <c r="AG54" s="94"/>
      <c r="AH54" s="94"/>
      <c r="AI54" s="94"/>
      <c r="AJ54" s="27"/>
      <c r="AK54" s="95"/>
      <c r="AL54" s="27"/>
      <c r="AM54" s="27"/>
      <c r="AN54" s="27"/>
      <c r="AO54" s="27"/>
      <c r="AP54" s="27"/>
      <c r="AQ54" s="27"/>
      <c r="AR54" s="27"/>
      <c r="AT54" s="95"/>
      <c r="AU54" s="95"/>
      <c r="AV54" s="95"/>
      <c r="AW54" s="95"/>
      <c r="AX54" s="95"/>
      <c r="BC54" s="94"/>
      <c r="BD54" s="94"/>
      <c r="BE54" s="94"/>
      <c r="BI54" s="27"/>
      <c r="BJ54" s="27"/>
      <c r="BM54" s="94"/>
      <c r="BN54" s="94"/>
      <c r="BO54" s="94"/>
      <c r="BP54" s="95"/>
      <c r="BQ54" s="95"/>
      <c r="BR54" s="95"/>
      <c r="BW54" s="94"/>
      <c r="BX54" s="94"/>
      <c r="BY54" s="94"/>
      <c r="BZ54" s="95"/>
      <c r="CA54" s="95"/>
      <c r="CB54" s="95"/>
      <c r="CH54" s="7" t="s">
        <v>84</v>
      </c>
      <c r="CI54" s="67"/>
      <c r="CJ54" s="7"/>
      <c r="CK54" s="7"/>
      <c r="CL54" s="7"/>
      <c r="CM54" s="7"/>
      <c r="CN54" s="156"/>
      <c r="CO54" s="7"/>
      <c r="CP54" s="154"/>
      <c r="CQ54" s="1"/>
      <c r="CR54" s="152"/>
      <c r="CS54" s="1"/>
      <c r="CT54" s="152"/>
      <c r="CU54" s="1"/>
      <c r="CV54" s="152"/>
      <c r="CW54" s="1"/>
      <c r="CX54" s="152"/>
      <c r="CY54" s="1"/>
      <c r="CZ54" s="152"/>
      <c r="DA54" s="1"/>
      <c r="DB54" s="152"/>
      <c r="DC54" s="117"/>
      <c r="DR54" s="95"/>
      <c r="DV54" s="95"/>
      <c r="DW54" s="95"/>
      <c r="DX54" s="95"/>
      <c r="ED54" s="27"/>
      <c r="EE54" s="27"/>
      <c r="EF54" s="27"/>
      <c r="EG54" s="27"/>
      <c r="FL54" s="121"/>
      <c r="GA54" s="177"/>
      <c r="GB54" s="177"/>
      <c r="GC54" s="177"/>
      <c r="GD54" s="177"/>
      <c r="GE54" s="177"/>
      <c r="GF54" s="177"/>
      <c r="GG54" s="177"/>
      <c r="GH54" s="27"/>
      <c r="GI54" s="27"/>
      <c r="GJ54" s="27"/>
      <c r="GK54" s="27"/>
      <c r="GL54" s="27"/>
      <c r="GM54" s="27"/>
      <c r="GN54" s="27"/>
      <c r="GO54" s="27"/>
      <c r="GP54" s="27"/>
      <c r="GQ54" s="27"/>
      <c r="GR54" s="27"/>
      <c r="GS54" s="177"/>
      <c r="GT54" s="177"/>
      <c r="GU54" s="177"/>
      <c r="GV54" s="177"/>
      <c r="GW54" s="177"/>
      <c r="GX54" s="177"/>
      <c r="HL54" s="95"/>
      <c r="HM54" s="95"/>
      <c r="HN54" s="95"/>
      <c r="HO54" s="95"/>
      <c r="HP54" s="95"/>
      <c r="HQ54" s="95"/>
    </row>
    <row r="55" spans="1:225" x14ac:dyDescent="0.2">
      <c r="AE55" s="27"/>
      <c r="AF55" s="27"/>
      <c r="AG55" s="94"/>
      <c r="AH55" s="94"/>
      <c r="AI55" s="94"/>
      <c r="AJ55" s="27"/>
      <c r="AK55" s="95"/>
      <c r="AL55" s="27"/>
      <c r="AM55" s="27"/>
      <c r="AN55" s="27"/>
      <c r="AO55" s="27"/>
      <c r="AP55" s="27"/>
      <c r="AQ55" s="27"/>
      <c r="AR55" s="27"/>
      <c r="AT55" s="95"/>
      <c r="AU55" s="95"/>
      <c r="AV55" s="95"/>
      <c r="AW55" s="95"/>
      <c r="AX55" s="95"/>
      <c r="BC55" s="94"/>
      <c r="BD55" s="94"/>
      <c r="BE55" s="94"/>
      <c r="BI55" s="27"/>
      <c r="BJ55" s="27"/>
      <c r="BM55" s="94"/>
      <c r="BN55" s="94"/>
      <c r="BO55" s="94"/>
      <c r="BP55" s="95"/>
      <c r="BQ55" s="95"/>
      <c r="BR55" s="95"/>
      <c r="BW55" s="94"/>
      <c r="BX55" s="94"/>
      <c r="BY55" s="94"/>
      <c r="BZ55" s="95"/>
      <c r="CA55" s="95"/>
      <c r="CB55" s="95"/>
      <c r="CH55" s="9" t="s">
        <v>77</v>
      </c>
      <c r="CI55" s="9" t="s">
        <v>78</v>
      </c>
      <c r="CJ55" s="9" t="s">
        <v>79</v>
      </c>
      <c r="CK55" s="9"/>
      <c r="CL55" s="9"/>
      <c r="CM55" s="9"/>
      <c r="CN55" s="159"/>
      <c r="CO55" s="9"/>
      <c r="CP55" s="9"/>
      <c r="CR55" s="95"/>
      <c r="CT55" s="95"/>
      <c r="CV55" s="95"/>
      <c r="CX55" s="95"/>
      <c r="CZ55" s="95"/>
      <c r="DB55" s="95"/>
      <c r="DC55" s="117"/>
      <c r="DR55" s="95"/>
      <c r="DV55" s="95"/>
      <c r="DW55" s="95"/>
      <c r="DX55" s="95"/>
      <c r="ED55" s="27"/>
      <c r="EE55" s="27"/>
      <c r="EF55" s="27"/>
      <c r="EG55" s="27"/>
      <c r="FL55" s="121"/>
      <c r="GA55" s="177"/>
      <c r="GB55" s="177"/>
      <c r="GC55" s="177"/>
      <c r="GD55" s="177"/>
      <c r="GE55" s="177"/>
      <c r="GF55" s="177"/>
      <c r="GG55" s="177"/>
      <c r="GH55" s="27"/>
      <c r="GI55" s="27"/>
      <c r="GJ55" s="27"/>
      <c r="GK55" s="27"/>
      <c r="GL55" s="27"/>
      <c r="GM55" s="27"/>
      <c r="GN55" s="27"/>
      <c r="GO55" s="27"/>
      <c r="GP55" s="27"/>
      <c r="GQ55" s="27"/>
      <c r="GR55" s="27"/>
      <c r="GS55" s="177"/>
      <c r="GT55" s="177"/>
      <c r="GU55" s="177"/>
      <c r="GV55" s="177"/>
      <c r="GW55" s="177"/>
      <c r="GX55" s="177"/>
      <c r="HL55" s="95"/>
      <c r="HM55" s="95"/>
      <c r="HN55" s="95"/>
      <c r="HO55" s="95"/>
      <c r="HP55" s="95"/>
      <c r="HQ55" s="95"/>
    </row>
    <row r="56" spans="1:225" x14ac:dyDescent="0.2">
      <c r="AE56" s="27"/>
      <c r="AF56" s="27"/>
      <c r="AG56" s="94"/>
      <c r="AH56" s="94"/>
      <c r="AI56" s="94"/>
      <c r="AJ56" s="27"/>
      <c r="AK56" s="95"/>
      <c r="AL56" s="27"/>
      <c r="AM56" s="27"/>
      <c r="AN56" s="27"/>
      <c r="AO56" s="27"/>
      <c r="AP56" s="27"/>
      <c r="AQ56" s="27"/>
      <c r="AR56" s="27"/>
      <c r="AT56" s="95"/>
      <c r="AU56" s="95"/>
      <c r="AV56" s="95"/>
      <c r="AW56" s="95"/>
      <c r="AX56" s="95"/>
      <c r="BC56" s="94"/>
      <c r="BD56" s="94"/>
      <c r="BE56" s="94"/>
      <c r="BI56" s="27"/>
      <c r="BJ56" s="27"/>
      <c r="BM56" s="94"/>
      <c r="BN56" s="94"/>
      <c r="BO56" s="94"/>
      <c r="BP56" s="95"/>
      <c r="BQ56" s="95"/>
      <c r="BR56" s="95"/>
      <c r="BW56" s="94"/>
      <c r="BX56" s="94"/>
      <c r="BY56" s="94"/>
      <c r="BZ56" s="95"/>
      <c r="CA56" s="95"/>
      <c r="CB56" s="95"/>
      <c r="CH56" s="9"/>
      <c r="CI56" s="9"/>
      <c r="CJ56" s="9"/>
      <c r="CK56" s="9"/>
      <c r="CL56" s="9"/>
      <c r="CM56" s="9"/>
      <c r="CN56" s="159"/>
      <c r="CO56" s="9"/>
      <c r="CP56" s="9"/>
      <c r="CR56" s="95"/>
      <c r="CT56" s="95"/>
      <c r="CV56" s="95"/>
      <c r="CX56" s="95"/>
      <c r="CZ56" s="95"/>
      <c r="DB56" s="95"/>
      <c r="DC56" s="117"/>
      <c r="DR56" s="95"/>
      <c r="DV56" s="95"/>
      <c r="DW56" s="95"/>
      <c r="DX56" s="95"/>
      <c r="ED56" s="27"/>
      <c r="EE56" s="27"/>
      <c r="EF56" s="27"/>
      <c r="EG56" s="27"/>
      <c r="FL56" s="121"/>
      <c r="GA56" s="177"/>
      <c r="GB56" s="177"/>
      <c r="GC56" s="177"/>
      <c r="GD56" s="177"/>
      <c r="GE56" s="177"/>
      <c r="GF56" s="177"/>
      <c r="GG56" s="177"/>
      <c r="GH56" s="27"/>
      <c r="GI56" s="27"/>
      <c r="GJ56" s="27"/>
      <c r="GK56" s="27"/>
      <c r="GL56" s="27"/>
      <c r="GM56" s="27"/>
      <c r="GN56" s="27"/>
      <c r="GO56" s="27"/>
      <c r="GP56" s="27"/>
      <c r="GQ56" s="27"/>
      <c r="GR56" s="27"/>
      <c r="GS56" s="177"/>
      <c r="GT56" s="177"/>
      <c r="GU56" s="177"/>
      <c r="GV56" s="177"/>
      <c r="GW56" s="177"/>
      <c r="GX56" s="177"/>
      <c r="HL56" s="95"/>
      <c r="HM56" s="95"/>
      <c r="HN56" s="95"/>
      <c r="HO56" s="95"/>
      <c r="HP56" s="95"/>
      <c r="HQ56" s="95"/>
    </row>
    <row r="57" spans="1:225" x14ac:dyDescent="0.2">
      <c r="AE57" s="27"/>
      <c r="AF57" s="27"/>
      <c r="AG57" s="94"/>
      <c r="AH57" s="94"/>
      <c r="AI57" s="94"/>
      <c r="AJ57" s="27"/>
      <c r="AK57" s="95"/>
      <c r="AL57" s="27"/>
      <c r="AM57" s="27"/>
      <c r="AN57" s="27"/>
      <c r="AO57" s="27"/>
      <c r="AP57" s="27"/>
      <c r="AQ57" s="27"/>
      <c r="AR57" s="27"/>
      <c r="AT57" s="95"/>
      <c r="AU57" s="95"/>
      <c r="AV57" s="95"/>
      <c r="AW57" s="95"/>
      <c r="AX57" s="95"/>
      <c r="BC57" s="94"/>
      <c r="BD57" s="94"/>
      <c r="BE57" s="94"/>
      <c r="BI57" s="27"/>
      <c r="BJ57" s="27"/>
      <c r="BM57" s="94"/>
      <c r="BN57" s="94"/>
      <c r="BO57" s="94"/>
      <c r="BP57" s="95"/>
      <c r="BQ57" s="95"/>
      <c r="BR57" s="95"/>
      <c r="BW57" s="94"/>
      <c r="BX57" s="94"/>
      <c r="BY57" s="94"/>
      <c r="BZ57" s="95"/>
      <c r="CA57" s="95"/>
      <c r="CB57" s="95"/>
      <c r="CH57" s="33">
        <v>0.88480000000000003</v>
      </c>
      <c r="CI57" s="33">
        <v>0.94579999999999997</v>
      </c>
      <c r="CJ57" s="33">
        <v>0.97699999999999998</v>
      </c>
      <c r="CK57" s="33"/>
      <c r="CL57" s="33"/>
      <c r="CM57" s="33"/>
      <c r="CN57" s="95"/>
      <c r="CO57" s="33"/>
      <c r="CP57" s="33"/>
      <c r="CR57" s="95"/>
      <c r="CT57" s="95"/>
      <c r="CV57" s="95"/>
      <c r="CX57" s="95"/>
      <c r="CZ57" s="95"/>
      <c r="DB57" s="95"/>
      <c r="DC57" s="29"/>
      <c r="DR57" s="95"/>
      <c r="DV57" s="95"/>
      <c r="DW57" s="95"/>
      <c r="DX57" s="95"/>
      <c r="ED57" s="27"/>
      <c r="EE57" s="27"/>
      <c r="EF57" s="27"/>
      <c r="EG57" s="27"/>
      <c r="FL57" s="121"/>
      <c r="GA57" s="177"/>
      <c r="GB57" s="177"/>
      <c r="GC57" s="177"/>
      <c r="GD57" s="177"/>
      <c r="GE57" s="177"/>
      <c r="GF57" s="177"/>
      <c r="GG57" s="177"/>
      <c r="GH57" s="27"/>
      <c r="GI57" s="27"/>
      <c r="GJ57" s="27"/>
      <c r="GK57" s="27"/>
      <c r="GL57" s="27"/>
      <c r="GM57" s="27"/>
      <c r="GN57" s="27"/>
      <c r="GO57" s="27"/>
      <c r="GP57" s="27"/>
      <c r="GQ57" s="27"/>
      <c r="GR57" s="27"/>
      <c r="GS57" s="177"/>
      <c r="GT57" s="177"/>
      <c r="GU57" s="177"/>
      <c r="GV57" s="177"/>
      <c r="GW57" s="177"/>
      <c r="GX57" s="177"/>
      <c r="HL57" s="95"/>
      <c r="HM57" s="95"/>
      <c r="HN57" s="95"/>
      <c r="HO57" s="95"/>
      <c r="HP57" s="95"/>
      <c r="HQ57" s="95"/>
    </row>
    <row r="58" spans="1:225" x14ac:dyDescent="0.2">
      <c r="AE58" s="27"/>
      <c r="AF58" s="27"/>
      <c r="AG58" s="94"/>
      <c r="AH58" s="94"/>
      <c r="AI58" s="94"/>
      <c r="AJ58" s="27"/>
      <c r="AK58" s="95"/>
      <c r="AL58" s="27"/>
      <c r="AM58" s="27"/>
      <c r="AN58" s="27"/>
      <c r="AO58" s="27"/>
      <c r="AP58" s="27"/>
      <c r="AQ58" s="27"/>
      <c r="AR58" s="27"/>
      <c r="AT58" s="95"/>
      <c r="AU58" s="95"/>
      <c r="AV58" s="95"/>
      <c r="AW58" s="95"/>
      <c r="AX58" s="95"/>
      <c r="BC58" s="94"/>
      <c r="BD58" s="94"/>
      <c r="BE58" s="94"/>
      <c r="BI58" s="27"/>
      <c r="BJ58" s="27"/>
      <c r="BM58" s="94"/>
      <c r="BN58" s="94"/>
      <c r="BO58" s="94"/>
      <c r="BP58" s="95"/>
      <c r="BQ58" s="95"/>
      <c r="BR58" s="95"/>
      <c r="BW58" s="94"/>
      <c r="BX58" s="94"/>
      <c r="BY58" s="94"/>
      <c r="BZ58" s="95"/>
      <c r="CA58" s="95"/>
      <c r="CB58" s="95"/>
      <c r="CH58" s="36"/>
      <c r="CI58" s="36"/>
      <c r="CJ58" s="36"/>
      <c r="CK58" s="36"/>
      <c r="CL58" s="36"/>
      <c r="CM58" s="36"/>
      <c r="CN58" s="160"/>
      <c r="CO58" s="36"/>
      <c r="CP58" s="36"/>
      <c r="CQ58" s="36"/>
      <c r="CR58" s="160"/>
      <c r="CS58" s="36"/>
      <c r="CT58" s="160"/>
      <c r="CU58" s="36"/>
      <c r="CV58" s="160"/>
      <c r="CW58" s="36"/>
      <c r="CX58" s="160"/>
      <c r="CY58" s="36"/>
      <c r="CZ58" s="160"/>
      <c r="DA58" s="36"/>
      <c r="DB58" s="160"/>
      <c r="DC58" s="36"/>
      <c r="DR58" s="95"/>
      <c r="DV58" s="95"/>
      <c r="DW58" s="95"/>
      <c r="DX58" s="95"/>
      <c r="ED58" s="27"/>
      <c r="EE58" s="27"/>
      <c r="EF58" s="27"/>
      <c r="EG58" s="27"/>
      <c r="FL58" s="121"/>
      <c r="GA58" s="177"/>
      <c r="GB58" s="177"/>
      <c r="GC58" s="177"/>
      <c r="GD58" s="177"/>
      <c r="GE58" s="177"/>
      <c r="GF58" s="177"/>
      <c r="GG58" s="177"/>
      <c r="GH58" s="27"/>
      <c r="GI58" s="27"/>
      <c r="GJ58" s="27"/>
      <c r="GK58" s="27"/>
      <c r="GL58" s="27"/>
      <c r="GM58" s="27"/>
      <c r="GN58" s="27"/>
      <c r="GO58" s="27"/>
      <c r="GP58" s="27"/>
      <c r="GQ58" s="27"/>
      <c r="GR58" s="27"/>
      <c r="GS58" s="177"/>
      <c r="GT58" s="177"/>
      <c r="GU58" s="177"/>
      <c r="GV58" s="177"/>
      <c r="GW58" s="177"/>
      <c r="GX58" s="177"/>
      <c r="HL58" s="95"/>
      <c r="HM58" s="95"/>
      <c r="HN58" s="95"/>
      <c r="HO58" s="95"/>
      <c r="HP58" s="95"/>
      <c r="HQ58" s="95"/>
    </row>
    <row r="59" spans="1:225" x14ac:dyDescent="0.2">
      <c r="AE59" s="27"/>
      <c r="AF59" s="27"/>
      <c r="AG59" s="94"/>
      <c r="AH59" s="94"/>
      <c r="AI59" s="94"/>
      <c r="AJ59" s="27"/>
      <c r="AK59" s="95"/>
      <c r="AL59" s="27"/>
      <c r="AM59" s="27"/>
      <c r="AN59" s="27"/>
      <c r="AO59" s="27"/>
      <c r="AP59" s="27"/>
      <c r="AQ59" s="27"/>
      <c r="AR59" s="27"/>
      <c r="AT59" s="95"/>
      <c r="AU59" s="95"/>
      <c r="AV59" s="95"/>
      <c r="AW59" s="95"/>
      <c r="AX59" s="95"/>
      <c r="BC59" s="94"/>
      <c r="BD59" s="94"/>
      <c r="BE59" s="94"/>
      <c r="BI59" s="27"/>
      <c r="BJ59" s="27"/>
      <c r="BM59" s="94"/>
      <c r="BN59" s="94"/>
      <c r="BO59" s="94"/>
      <c r="BP59" s="95"/>
      <c r="BQ59" s="95"/>
      <c r="BR59" s="95"/>
      <c r="BW59" s="94"/>
      <c r="BX59" s="94"/>
      <c r="BY59" s="94"/>
      <c r="BZ59" s="95"/>
      <c r="CA59" s="95"/>
      <c r="CB59" s="95"/>
      <c r="CN59" s="95"/>
      <c r="CR59" s="95"/>
      <c r="CT59" s="95"/>
      <c r="CV59" s="95"/>
      <c r="CX59" s="95"/>
      <c r="CZ59" s="95"/>
      <c r="DB59" s="95"/>
      <c r="DR59" s="95"/>
      <c r="DV59" s="95"/>
      <c r="DW59" s="95"/>
      <c r="DX59" s="95"/>
      <c r="ED59" s="27"/>
      <c r="EE59" s="27"/>
      <c r="EF59" s="27"/>
      <c r="EG59" s="27"/>
      <c r="FL59" s="121"/>
      <c r="GA59" s="177"/>
      <c r="GB59" s="177"/>
      <c r="GC59" s="177"/>
      <c r="GD59" s="177"/>
      <c r="GE59" s="177"/>
      <c r="GF59" s="177"/>
      <c r="GG59" s="177"/>
      <c r="GH59" s="27"/>
      <c r="GI59" s="27"/>
      <c r="GJ59" s="27"/>
      <c r="GK59" s="27"/>
      <c r="GL59" s="27"/>
      <c r="GM59" s="27"/>
      <c r="GN59" s="27"/>
      <c r="GO59" s="27"/>
      <c r="GP59" s="27"/>
      <c r="GQ59" s="27"/>
      <c r="GR59" s="27"/>
      <c r="GS59" s="177"/>
      <c r="GT59" s="177"/>
      <c r="GU59" s="177"/>
      <c r="GV59" s="177"/>
      <c r="GW59" s="177"/>
      <c r="GX59" s="177"/>
      <c r="HL59" s="95"/>
      <c r="HM59" s="95"/>
      <c r="HN59" s="95"/>
      <c r="HO59" s="95"/>
      <c r="HP59" s="95"/>
      <c r="HQ59" s="95"/>
    </row>
    <row r="60" spans="1:225" x14ac:dyDescent="0.2">
      <c r="AE60" s="27"/>
      <c r="AF60" s="27"/>
      <c r="AG60" s="94"/>
      <c r="AH60" s="94"/>
      <c r="AI60" s="94"/>
      <c r="AJ60" s="27"/>
      <c r="AK60" s="95"/>
      <c r="AL60" s="27"/>
      <c r="AM60" s="27"/>
      <c r="AN60" s="27"/>
      <c r="AO60" s="27"/>
      <c r="AP60" s="27"/>
      <c r="AQ60" s="27"/>
      <c r="AR60" s="27"/>
      <c r="AT60" s="95"/>
      <c r="AU60" s="95"/>
      <c r="AV60" s="95"/>
      <c r="AW60" s="95"/>
      <c r="AX60" s="95"/>
      <c r="BC60" s="94"/>
      <c r="BD60" s="94"/>
      <c r="BE60" s="94"/>
      <c r="BI60" s="27"/>
      <c r="BJ60" s="27"/>
      <c r="BM60" s="94"/>
      <c r="BN60" s="94"/>
      <c r="BO60" s="94"/>
      <c r="BP60" s="95"/>
      <c r="BQ60" s="95"/>
      <c r="BR60" s="95"/>
      <c r="BW60" s="94"/>
      <c r="BX60" s="94"/>
      <c r="BY60" s="94"/>
      <c r="BZ60" s="95"/>
      <c r="CA60" s="95"/>
      <c r="CB60" s="95"/>
      <c r="CN60" s="95"/>
      <c r="CR60" s="95"/>
      <c r="CT60" s="95"/>
      <c r="CV60" s="95"/>
      <c r="CX60" s="95"/>
      <c r="CZ60" s="95"/>
      <c r="DB60" s="95"/>
      <c r="DR60" s="95"/>
      <c r="DV60" s="95"/>
      <c r="DW60" s="95"/>
      <c r="DX60" s="95"/>
      <c r="ED60" s="27"/>
      <c r="EE60" s="27"/>
      <c r="EF60" s="27"/>
      <c r="EG60" s="27"/>
      <c r="FL60" s="121"/>
      <c r="GA60" s="177"/>
      <c r="GB60" s="177"/>
      <c r="GC60" s="177"/>
      <c r="GD60" s="177"/>
      <c r="GE60" s="177"/>
      <c r="GF60" s="177"/>
      <c r="GG60" s="177"/>
      <c r="GH60" s="27"/>
      <c r="GI60" s="27"/>
      <c r="GJ60" s="27"/>
      <c r="GK60" s="27"/>
      <c r="GL60" s="27"/>
      <c r="GM60" s="27"/>
      <c r="GN60" s="27"/>
      <c r="GO60" s="27"/>
      <c r="GP60" s="27"/>
      <c r="GQ60" s="27"/>
      <c r="GR60" s="27"/>
      <c r="GS60" s="177"/>
      <c r="GT60" s="177"/>
      <c r="GU60" s="177"/>
      <c r="GV60" s="177"/>
      <c r="GW60" s="177"/>
      <c r="GX60" s="177"/>
      <c r="HL60" s="95"/>
      <c r="HM60" s="95"/>
      <c r="HN60" s="95"/>
      <c r="HO60" s="95"/>
      <c r="HP60" s="95"/>
      <c r="HQ60" s="95"/>
    </row>
    <row r="61" spans="1:225" x14ac:dyDescent="0.2">
      <c r="AE61" s="27"/>
      <c r="AF61" s="27"/>
      <c r="AG61" s="94"/>
      <c r="AH61" s="94"/>
      <c r="AI61" s="94"/>
      <c r="AJ61" s="27"/>
      <c r="AK61" s="95"/>
      <c r="AL61" s="27"/>
      <c r="AM61" s="27"/>
      <c r="AN61" s="27"/>
      <c r="AO61" s="27"/>
      <c r="AP61" s="27"/>
      <c r="AQ61" s="27"/>
      <c r="AR61" s="27"/>
      <c r="AT61" s="95"/>
      <c r="AU61" s="95"/>
      <c r="AV61" s="95"/>
      <c r="AW61" s="95"/>
      <c r="AX61" s="95"/>
      <c r="BC61" s="94"/>
      <c r="BD61" s="94"/>
      <c r="BE61" s="94"/>
      <c r="BI61" s="27"/>
      <c r="BJ61" s="27"/>
      <c r="BM61" s="94"/>
      <c r="BN61" s="94"/>
      <c r="BO61" s="94"/>
      <c r="BP61" s="95"/>
      <c r="BQ61" s="95"/>
      <c r="BR61" s="95"/>
      <c r="BW61" s="94"/>
      <c r="BX61" s="94"/>
      <c r="BY61" s="94"/>
      <c r="BZ61" s="95"/>
      <c r="CA61" s="95"/>
      <c r="CB61" s="95"/>
      <c r="CN61" s="95"/>
      <c r="CR61" s="95"/>
      <c r="CT61" s="95"/>
      <c r="CV61" s="95"/>
      <c r="CX61" s="95"/>
      <c r="CZ61" s="95"/>
      <c r="DB61" s="95"/>
      <c r="DR61" s="95"/>
      <c r="DV61" s="95"/>
      <c r="DW61" s="95"/>
      <c r="DX61" s="95"/>
      <c r="ED61" s="27"/>
      <c r="EE61" s="27"/>
      <c r="EF61" s="27"/>
      <c r="EG61" s="27"/>
      <c r="FL61" s="121"/>
      <c r="GA61" s="177"/>
      <c r="GB61" s="177"/>
      <c r="GC61" s="177"/>
      <c r="GD61" s="177"/>
      <c r="GE61" s="177"/>
      <c r="GF61" s="177"/>
      <c r="GG61" s="177"/>
      <c r="GH61" s="27"/>
      <c r="GI61" s="27"/>
      <c r="GJ61" s="27"/>
      <c r="GK61" s="27"/>
      <c r="GL61" s="27"/>
      <c r="GM61" s="27"/>
      <c r="GN61" s="27"/>
      <c r="GO61" s="27"/>
      <c r="GP61" s="27"/>
      <c r="GQ61" s="27"/>
      <c r="GR61" s="27"/>
      <c r="GS61" s="177"/>
      <c r="GT61" s="177"/>
      <c r="GU61" s="177"/>
      <c r="GV61" s="177"/>
      <c r="GW61" s="177"/>
      <c r="GX61" s="177"/>
      <c r="HL61" s="95"/>
      <c r="HM61" s="95"/>
      <c r="HN61" s="95"/>
      <c r="HO61" s="95"/>
      <c r="HP61" s="95"/>
      <c r="HQ61" s="95"/>
    </row>
    <row r="62" spans="1:225" x14ac:dyDescent="0.2">
      <c r="AE62" s="27"/>
      <c r="AF62" s="27"/>
      <c r="AG62" s="94"/>
      <c r="AH62" s="94"/>
      <c r="AI62" s="94"/>
      <c r="AJ62" s="27"/>
      <c r="AK62" s="95"/>
      <c r="AL62" s="27"/>
      <c r="AM62" s="27"/>
      <c r="AN62" s="27"/>
      <c r="AO62" s="27"/>
      <c r="AP62" s="27"/>
      <c r="AQ62" s="27"/>
      <c r="AR62" s="27"/>
      <c r="AT62" s="95"/>
      <c r="AU62" s="95"/>
      <c r="AV62" s="95"/>
      <c r="AW62" s="95"/>
      <c r="AX62" s="95"/>
      <c r="BC62" s="94"/>
      <c r="BD62" s="94"/>
      <c r="BE62" s="94"/>
      <c r="BI62" s="27"/>
      <c r="BJ62" s="27"/>
      <c r="BM62" s="94"/>
      <c r="BN62" s="94"/>
      <c r="BO62" s="94"/>
      <c r="BP62" s="95"/>
      <c r="BQ62" s="95"/>
      <c r="BR62" s="95"/>
      <c r="BW62" s="94"/>
      <c r="BX62" s="94"/>
      <c r="BY62" s="94"/>
      <c r="BZ62" s="95"/>
      <c r="CA62" s="95"/>
      <c r="CB62" s="95"/>
      <c r="CN62" s="95"/>
      <c r="CR62" s="95"/>
      <c r="CT62" s="95"/>
      <c r="CV62" s="95"/>
      <c r="CX62" s="95"/>
      <c r="CZ62" s="95"/>
      <c r="DB62" s="95"/>
      <c r="DR62" s="95"/>
      <c r="DV62" s="95"/>
      <c r="DW62" s="95"/>
      <c r="DX62" s="95"/>
      <c r="ED62" s="27"/>
      <c r="EE62" s="27"/>
      <c r="EF62" s="27"/>
      <c r="EG62" s="27"/>
      <c r="FL62" s="121"/>
      <c r="GA62" s="177"/>
      <c r="GB62" s="177"/>
      <c r="GC62" s="177"/>
      <c r="GD62" s="177"/>
      <c r="GE62" s="177"/>
      <c r="GF62" s="177"/>
      <c r="GG62" s="177"/>
      <c r="GH62" s="27"/>
      <c r="GI62" s="27"/>
      <c r="GJ62" s="27"/>
      <c r="GK62" s="27"/>
      <c r="GL62" s="27"/>
      <c r="GM62" s="27"/>
      <c r="GN62" s="27"/>
      <c r="GO62" s="27"/>
      <c r="GP62" s="27"/>
      <c r="GQ62" s="27"/>
      <c r="GR62" s="27"/>
      <c r="GS62" s="177"/>
      <c r="GT62" s="177"/>
      <c r="GU62" s="177"/>
      <c r="GV62" s="177"/>
      <c r="GW62" s="177"/>
      <c r="GX62" s="177"/>
      <c r="HL62" s="95"/>
      <c r="HM62" s="95"/>
      <c r="HN62" s="95"/>
      <c r="HO62" s="95"/>
      <c r="HP62" s="95"/>
      <c r="HQ62" s="95"/>
    </row>
    <row r="63" spans="1:225" x14ac:dyDescent="0.2">
      <c r="AE63" s="27"/>
      <c r="AF63" s="27"/>
      <c r="AG63" s="94"/>
      <c r="AH63" s="94"/>
      <c r="AI63" s="94"/>
      <c r="AJ63" s="27"/>
      <c r="AK63" s="95"/>
      <c r="AL63" s="27"/>
      <c r="AM63" s="27"/>
      <c r="AN63" s="27"/>
      <c r="AO63" s="27"/>
      <c r="AP63" s="27"/>
      <c r="AQ63" s="27"/>
      <c r="AR63" s="27"/>
      <c r="AT63" s="95"/>
      <c r="AU63" s="95"/>
      <c r="AV63" s="95"/>
      <c r="AW63" s="95"/>
      <c r="AX63" s="95"/>
      <c r="BC63" s="94"/>
      <c r="BD63" s="94"/>
      <c r="BE63" s="94"/>
      <c r="BI63" s="27"/>
      <c r="BJ63" s="27"/>
      <c r="BM63" s="94"/>
      <c r="BN63" s="94"/>
      <c r="BO63" s="94"/>
      <c r="BP63" s="95"/>
      <c r="BQ63" s="95"/>
      <c r="BR63" s="95"/>
      <c r="BW63" s="94"/>
      <c r="BX63" s="94"/>
      <c r="BY63" s="94"/>
      <c r="BZ63" s="95"/>
      <c r="CA63" s="95"/>
      <c r="CB63" s="95"/>
      <c r="CN63" s="95"/>
      <c r="CR63" s="95"/>
      <c r="CT63" s="95"/>
      <c r="CV63" s="95"/>
      <c r="CX63" s="95"/>
      <c r="CZ63" s="95"/>
      <c r="DB63" s="95"/>
      <c r="DR63" s="95"/>
      <c r="DV63" s="95"/>
      <c r="DW63" s="95"/>
      <c r="DX63" s="95"/>
      <c r="ED63" s="27"/>
      <c r="EE63" s="27"/>
      <c r="EF63" s="27"/>
      <c r="EG63" s="27"/>
      <c r="FL63" s="121"/>
      <c r="GA63" s="177"/>
      <c r="GB63" s="177"/>
      <c r="GC63" s="177"/>
      <c r="GD63" s="177"/>
      <c r="GE63" s="177"/>
      <c r="GF63" s="177"/>
      <c r="GG63" s="177"/>
      <c r="GH63" s="27"/>
      <c r="GI63" s="27"/>
      <c r="GJ63" s="27"/>
      <c r="GK63" s="27"/>
      <c r="GL63" s="27"/>
      <c r="GM63" s="27"/>
      <c r="GN63" s="27"/>
      <c r="GO63" s="27"/>
      <c r="GP63" s="27"/>
      <c r="GQ63" s="27"/>
      <c r="GR63" s="27"/>
      <c r="GS63" s="177"/>
      <c r="GT63" s="177"/>
      <c r="GU63" s="177"/>
      <c r="GV63" s="177"/>
      <c r="GW63" s="177"/>
      <c r="GX63" s="177"/>
      <c r="HL63" s="95"/>
      <c r="HM63" s="95"/>
      <c r="HN63" s="95"/>
      <c r="HO63" s="95"/>
      <c r="HP63" s="95"/>
      <c r="HQ63" s="95"/>
    </row>
    <row r="64" spans="1:225" x14ac:dyDescent="0.2">
      <c r="AE64" s="27"/>
      <c r="AF64" s="27"/>
      <c r="AG64" s="94"/>
      <c r="AH64" s="94"/>
      <c r="AI64" s="94"/>
      <c r="AJ64" s="27"/>
      <c r="AK64" s="95"/>
      <c r="AL64" s="27"/>
      <c r="AM64" s="27"/>
      <c r="AN64" s="27"/>
      <c r="AO64" s="27"/>
      <c r="AP64" s="27"/>
      <c r="AQ64" s="27"/>
      <c r="AR64" s="27"/>
      <c r="AT64" s="95"/>
      <c r="AU64" s="95"/>
      <c r="AV64" s="95"/>
      <c r="AW64" s="95"/>
      <c r="AX64" s="95"/>
      <c r="BC64" s="94"/>
      <c r="BD64" s="94"/>
      <c r="BE64" s="94"/>
      <c r="BI64" s="27"/>
      <c r="BJ64" s="27"/>
      <c r="BM64" s="94"/>
      <c r="BN64" s="94"/>
      <c r="BO64" s="94"/>
      <c r="BP64" s="95"/>
      <c r="BQ64" s="95"/>
      <c r="BR64" s="95"/>
      <c r="BW64" s="94"/>
      <c r="BX64" s="94"/>
      <c r="BY64" s="94"/>
      <c r="BZ64" s="95"/>
      <c r="CA64" s="95"/>
      <c r="CB64" s="95"/>
      <c r="CN64" s="95"/>
      <c r="CR64" s="95"/>
      <c r="CT64" s="95"/>
      <c r="CV64" s="95"/>
      <c r="CX64" s="95"/>
      <c r="CZ64" s="95"/>
      <c r="DB64" s="95"/>
      <c r="DR64" s="95"/>
      <c r="DV64" s="95"/>
      <c r="DW64" s="95"/>
      <c r="DX64" s="95"/>
      <c r="ED64" s="27"/>
      <c r="EE64" s="27"/>
      <c r="EF64" s="27"/>
      <c r="EG64" s="27"/>
      <c r="FL64" s="121"/>
      <c r="GA64" s="177"/>
      <c r="GB64" s="177"/>
      <c r="GC64" s="177"/>
      <c r="GD64" s="177"/>
      <c r="GE64" s="177"/>
      <c r="GF64" s="177"/>
      <c r="GG64" s="177"/>
      <c r="GH64" s="27"/>
      <c r="GI64" s="27"/>
      <c r="GJ64" s="27"/>
      <c r="GK64" s="27"/>
      <c r="GL64" s="27"/>
      <c r="GM64" s="27"/>
      <c r="GN64" s="27"/>
      <c r="GO64" s="27"/>
      <c r="GP64" s="27"/>
      <c r="GQ64" s="27"/>
      <c r="GR64" s="27"/>
      <c r="GS64" s="177"/>
      <c r="GT64" s="177"/>
      <c r="GU64" s="177"/>
      <c r="GV64" s="177"/>
      <c r="GW64" s="177"/>
      <c r="GX64" s="177"/>
      <c r="HL64" s="95"/>
      <c r="HM64" s="95"/>
      <c r="HN64" s="95"/>
      <c r="HO64" s="95"/>
      <c r="HP64" s="95"/>
      <c r="HQ64" s="95"/>
    </row>
    <row r="65" spans="31:225" x14ac:dyDescent="0.2">
      <c r="AE65" s="27"/>
      <c r="AF65" s="27"/>
      <c r="AG65" s="94"/>
      <c r="AH65" s="94"/>
      <c r="AI65" s="94"/>
      <c r="AJ65" s="27"/>
      <c r="AK65" s="95"/>
      <c r="AL65" s="27"/>
      <c r="AM65" s="27"/>
      <c r="AN65" s="27"/>
      <c r="AO65" s="27"/>
      <c r="AP65" s="27"/>
      <c r="AQ65" s="27"/>
      <c r="AR65" s="27"/>
      <c r="AT65" s="95"/>
      <c r="AU65" s="95"/>
      <c r="AV65" s="95"/>
      <c r="AW65" s="95"/>
      <c r="AX65" s="95"/>
      <c r="BC65" s="94"/>
      <c r="BD65" s="94"/>
      <c r="BE65" s="94"/>
      <c r="BI65" s="27"/>
      <c r="BJ65" s="27"/>
      <c r="BM65" s="94"/>
      <c r="BN65" s="94"/>
      <c r="BO65" s="94"/>
      <c r="BP65" s="95"/>
      <c r="BQ65" s="95"/>
      <c r="BR65" s="95"/>
      <c r="BW65" s="94"/>
      <c r="BX65" s="94"/>
      <c r="BY65" s="94"/>
      <c r="BZ65" s="95"/>
      <c r="CA65" s="95"/>
      <c r="CB65" s="95"/>
      <c r="CN65" s="95"/>
      <c r="CR65" s="95"/>
      <c r="CT65" s="95"/>
      <c r="CV65" s="95"/>
      <c r="CX65" s="95"/>
      <c r="CZ65" s="95"/>
      <c r="DB65" s="95"/>
      <c r="DR65" s="95"/>
      <c r="DV65" s="95"/>
      <c r="DW65" s="95"/>
      <c r="DX65" s="95"/>
      <c r="ED65" s="27"/>
      <c r="EE65" s="27"/>
      <c r="EF65" s="27"/>
      <c r="EG65" s="27"/>
      <c r="FL65" s="121"/>
      <c r="GA65" s="177"/>
      <c r="GB65" s="177"/>
      <c r="GC65" s="177"/>
      <c r="GD65" s="177"/>
      <c r="GE65" s="177"/>
      <c r="GF65" s="177"/>
      <c r="GG65" s="177"/>
      <c r="GH65" s="27"/>
      <c r="GI65" s="27"/>
      <c r="GJ65" s="27"/>
      <c r="GK65" s="27"/>
      <c r="GL65" s="27"/>
      <c r="GM65" s="27"/>
      <c r="GN65" s="27"/>
      <c r="GO65" s="27"/>
      <c r="GP65" s="27"/>
      <c r="GQ65" s="27"/>
      <c r="GR65" s="27"/>
      <c r="GS65" s="177"/>
      <c r="GT65" s="177"/>
      <c r="GU65" s="177"/>
      <c r="GV65" s="177"/>
      <c r="GW65" s="177"/>
      <c r="GX65" s="177"/>
      <c r="HL65" s="95"/>
      <c r="HM65" s="95"/>
      <c r="HN65" s="95"/>
      <c r="HO65" s="95"/>
      <c r="HP65" s="95"/>
      <c r="HQ65" s="95"/>
    </row>
    <row r="66" spans="31:225" x14ac:dyDescent="0.2">
      <c r="AE66" s="27"/>
      <c r="AF66" s="27"/>
      <c r="AG66" s="94"/>
      <c r="AH66" s="94"/>
      <c r="AI66" s="94"/>
      <c r="AJ66" s="27"/>
      <c r="AK66" s="95"/>
      <c r="AL66" s="27"/>
      <c r="AM66" s="27"/>
      <c r="AN66" s="27"/>
      <c r="AO66" s="27"/>
      <c r="AP66" s="27"/>
      <c r="AQ66" s="27"/>
      <c r="AR66" s="27"/>
      <c r="AT66" s="95"/>
      <c r="AU66" s="95"/>
      <c r="AV66" s="95"/>
      <c r="AW66" s="95"/>
      <c r="AX66" s="95"/>
      <c r="BC66" s="94"/>
      <c r="BD66" s="94"/>
      <c r="BE66" s="94"/>
      <c r="BI66" s="27"/>
      <c r="BJ66" s="27"/>
      <c r="BM66" s="94"/>
      <c r="BN66" s="94"/>
      <c r="BO66" s="94"/>
      <c r="BP66" s="95"/>
      <c r="BQ66" s="95"/>
      <c r="BR66" s="95"/>
      <c r="BW66" s="94"/>
      <c r="BX66" s="94"/>
      <c r="BY66" s="94"/>
      <c r="BZ66" s="95"/>
      <c r="CA66" s="95"/>
      <c r="CB66" s="95"/>
      <c r="CN66" s="95"/>
      <c r="CR66" s="95"/>
      <c r="CT66" s="95"/>
      <c r="CV66" s="95"/>
      <c r="CX66" s="95"/>
      <c r="CZ66" s="95"/>
      <c r="DB66" s="95"/>
      <c r="DR66" s="95"/>
      <c r="DV66" s="95"/>
      <c r="DW66" s="95"/>
      <c r="DX66" s="95"/>
      <c r="ED66" s="27"/>
      <c r="EE66" s="27"/>
      <c r="EF66" s="27"/>
      <c r="EG66" s="27"/>
      <c r="FL66" s="121"/>
      <c r="GA66" s="177"/>
      <c r="GB66" s="177"/>
      <c r="GC66" s="177"/>
      <c r="GD66" s="177"/>
      <c r="GE66" s="177"/>
      <c r="GF66" s="177"/>
      <c r="GG66" s="177"/>
      <c r="GH66" s="27"/>
      <c r="GI66" s="27"/>
      <c r="GJ66" s="27"/>
      <c r="GK66" s="27"/>
      <c r="GL66" s="27"/>
      <c r="GM66" s="27"/>
      <c r="GN66" s="27"/>
      <c r="GO66" s="27"/>
      <c r="GP66" s="27"/>
      <c r="GQ66" s="27"/>
      <c r="GR66" s="27"/>
      <c r="GS66" s="177"/>
      <c r="GT66" s="177"/>
      <c r="GU66" s="177"/>
      <c r="GV66" s="177"/>
      <c r="GW66" s="177"/>
      <c r="GX66" s="177"/>
      <c r="HL66" s="95"/>
      <c r="HM66" s="95"/>
      <c r="HN66" s="95"/>
      <c r="HO66" s="95"/>
      <c r="HP66" s="95"/>
      <c r="HQ66" s="95"/>
    </row>
    <row r="67" spans="31:225" x14ac:dyDescent="0.2">
      <c r="AE67" s="27"/>
      <c r="AF67" s="27"/>
      <c r="AG67" s="94"/>
      <c r="AH67" s="94"/>
      <c r="AI67" s="94"/>
      <c r="AJ67" s="27"/>
      <c r="AK67" s="95"/>
      <c r="AL67" s="27"/>
      <c r="AM67" s="27"/>
      <c r="AN67" s="27"/>
      <c r="AO67" s="27"/>
      <c r="AP67" s="27"/>
      <c r="AQ67" s="27"/>
      <c r="AR67" s="27"/>
      <c r="AT67" s="95"/>
      <c r="AU67" s="95"/>
      <c r="AV67" s="95"/>
      <c r="AW67" s="95"/>
      <c r="AX67" s="95"/>
      <c r="BC67" s="94"/>
      <c r="BD67" s="94"/>
      <c r="BE67" s="94"/>
      <c r="BI67" s="27"/>
      <c r="BJ67" s="27"/>
      <c r="BM67" s="94"/>
      <c r="BN67" s="94"/>
      <c r="BO67" s="94"/>
      <c r="BP67" s="95"/>
      <c r="BQ67" s="95"/>
      <c r="BR67" s="95"/>
      <c r="BW67" s="94"/>
      <c r="BX67" s="94"/>
      <c r="BY67" s="94"/>
      <c r="BZ67" s="95"/>
      <c r="CA67" s="95"/>
      <c r="CB67" s="95"/>
      <c r="CN67" s="95"/>
      <c r="CR67" s="95"/>
      <c r="CT67" s="95"/>
      <c r="CV67" s="95"/>
      <c r="CX67" s="95"/>
      <c r="CZ67" s="95"/>
      <c r="DB67" s="95"/>
      <c r="DR67" s="95"/>
      <c r="DV67" s="95"/>
      <c r="DW67" s="95"/>
      <c r="DX67" s="95"/>
      <c r="ED67" s="27"/>
      <c r="EE67" s="27"/>
      <c r="EF67" s="27"/>
      <c r="EG67" s="27"/>
      <c r="FL67" s="121"/>
      <c r="GA67" s="177"/>
      <c r="GB67" s="177"/>
      <c r="GC67" s="177"/>
      <c r="GD67" s="177"/>
      <c r="GE67" s="177"/>
      <c r="GF67" s="177"/>
      <c r="GG67" s="177"/>
      <c r="GH67" s="27"/>
      <c r="GI67" s="27"/>
      <c r="GJ67" s="27"/>
      <c r="GK67" s="27"/>
      <c r="GL67" s="27"/>
      <c r="GM67" s="27"/>
      <c r="GN67" s="27"/>
      <c r="GO67" s="27"/>
      <c r="GP67" s="27"/>
      <c r="GQ67" s="27"/>
      <c r="GR67" s="27"/>
      <c r="GS67" s="177"/>
      <c r="GT67" s="177"/>
      <c r="GU67" s="177"/>
      <c r="GV67" s="177"/>
      <c r="GW67" s="177"/>
      <c r="GX67" s="177"/>
      <c r="HL67" s="95"/>
      <c r="HM67" s="95"/>
      <c r="HN67" s="95"/>
      <c r="HO67" s="95"/>
      <c r="HP67" s="95"/>
      <c r="HQ67" s="95"/>
    </row>
    <row r="68" spans="31:225" x14ac:dyDescent="0.2">
      <c r="AE68" s="27"/>
      <c r="AF68" s="27"/>
      <c r="AG68" s="94"/>
      <c r="AH68" s="94"/>
      <c r="AI68" s="94"/>
      <c r="AJ68" s="27"/>
      <c r="AK68" s="95"/>
      <c r="AL68" s="27"/>
      <c r="AM68" s="27"/>
      <c r="AN68" s="27"/>
      <c r="AO68" s="27"/>
      <c r="AP68" s="27"/>
      <c r="AQ68" s="27"/>
      <c r="AR68" s="27"/>
      <c r="AT68" s="95"/>
      <c r="AU68" s="95"/>
      <c r="AV68" s="95"/>
      <c r="AW68" s="95"/>
      <c r="AX68" s="95"/>
      <c r="BC68" s="94"/>
      <c r="BD68" s="94"/>
      <c r="BE68" s="94"/>
      <c r="BI68" s="27"/>
      <c r="BJ68" s="27"/>
      <c r="BM68" s="94"/>
      <c r="BN68" s="94"/>
      <c r="BO68" s="94"/>
      <c r="BP68" s="95"/>
      <c r="BQ68" s="95"/>
      <c r="BR68" s="95"/>
      <c r="BW68" s="94"/>
      <c r="BX68" s="94"/>
      <c r="BY68" s="94"/>
      <c r="BZ68" s="95"/>
      <c r="CA68" s="95"/>
      <c r="CB68" s="95"/>
      <c r="CN68" s="95"/>
      <c r="CR68" s="95"/>
      <c r="CT68" s="95"/>
      <c r="CV68" s="95"/>
      <c r="CX68" s="95"/>
      <c r="CZ68" s="95"/>
      <c r="DB68" s="95"/>
      <c r="DR68" s="95"/>
      <c r="DV68" s="95"/>
      <c r="DW68" s="95"/>
      <c r="DX68" s="95"/>
      <c r="ED68" s="27"/>
      <c r="EE68" s="27"/>
      <c r="EF68" s="27"/>
      <c r="EG68" s="27"/>
      <c r="FL68" s="121"/>
      <c r="GA68" s="177"/>
      <c r="GB68" s="177"/>
      <c r="GC68" s="177"/>
      <c r="GD68" s="177"/>
      <c r="GE68" s="177"/>
      <c r="GF68" s="177"/>
      <c r="GG68" s="177"/>
      <c r="GH68" s="27"/>
      <c r="GI68" s="27"/>
      <c r="GJ68" s="27"/>
      <c r="GK68" s="27"/>
      <c r="GL68" s="27"/>
      <c r="GM68" s="27"/>
      <c r="GN68" s="27"/>
      <c r="GO68" s="27"/>
      <c r="GP68" s="27"/>
      <c r="GQ68" s="27"/>
      <c r="GR68" s="27"/>
      <c r="GS68" s="177"/>
      <c r="GT68" s="177"/>
      <c r="GU68" s="177"/>
      <c r="GV68" s="177"/>
      <c r="GW68" s="177"/>
      <c r="GX68" s="177"/>
      <c r="HL68" s="95"/>
      <c r="HM68" s="95"/>
      <c r="HN68" s="95"/>
      <c r="HO68" s="95"/>
      <c r="HP68" s="95"/>
      <c r="HQ68" s="9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Wet wipe Calculations</vt:lpstr>
      <vt:lpstr>Natural Fibres</vt:lpstr>
      <vt:lpstr>Regenerated Fibres</vt:lpstr>
      <vt:lpstr>Plastic fibres</vt:lpstr>
      <vt:lpstr>Solids</vt:lpstr>
      <vt:lpstr>Solids for Swiss comparison</vt:lpstr>
      <vt:lpstr>Natural Laundry</vt:lpstr>
      <vt:lpstr>Plastic laundry</vt:lpstr>
      <vt:lpstr>Laundry Fibres TOTAL</vt:lpstr>
      <vt:lpstr>2 Natural Laundry</vt:lpstr>
      <vt:lpstr>2 Plastic Laundry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Tom Allison</cp:lastModifiedBy>
  <dcterms:created xsi:type="dcterms:W3CDTF">2022-09-15T13:05:06Z</dcterms:created>
  <dcterms:modified xsi:type="dcterms:W3CDTF">2024-11-04T11:36:37Z</dcterms:modified>
</cp:coreProperties>
</file>